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CCAS NEW\All meetings &amp; seminars\00-2017- Denver\presentation files\"/>
    </mc:Choice>
  </mc:AlternateContent>
  <bookViews>
    <workbookView xWindow="0" yWindow="0" windowWidth="19140" windowHeight="11400"/>
  </bookViews>
  <sheets>
    <sheet name="MODEL" sheetId="1" r:id="rId1"/>
    <sheet name="SCH DATA" sheetId="2" r:id="rId2"/>
    <sheet name="SUMMARY" sheetId="3" r:id="rId3"/>
  </sheets>
  <externalReferences>
    <externalReference r:id="rId4"/>
  </externalReferences>
  <definedNames>
    <definedName name="__MeasureNames__">'[1]#REF!'!$A$2:$C$2</definedName>
    <definedName name="__ViewNames__">'[1]#REF!'!$C$3:$C$4</definedName>
  </definedNames>
  <calcPr calcId="162913"/>
</workbook>
</file>

<file path=xl/calcChain.xml><?xml version="1.0" encoding="utf-8"?>
<calcChain xmlns="http://schemas.openxmlformats.org/spreadsheetml/2006/main">
  <c r="R16" i="1" l="1"/>
  <c r="R12" i="1"/>
  <c r="F5" i="3" l="1"/>
  <c r="G5" i="3"/>
  <c r="H5" i="3"/>
  <c r="I5" i="3"/>
  <c r="F7" i="3"/>
  <c r="F8" i="3"/>
  <c r="G8" i="3"/>
  <c r="H8" i="3"/>
  <c r="I8" i="3"/>
  <c r="I9" i="3"/>
  <c r="F10" i="3"/>
  <c r="F11" i="3"/>
  <c r="G11" i="3"/>
  <c r="H11" i="3"/>
  <c r="I11" i="3"/>
  <c r="F13" i="3"/>
  <c r="F14" i="3"/>
  <c r="G14" i="3"/>
  <c r="H14" i="3"/>
  <c r="I14" i="3"/>
  <c r="F16" i="3"/>
  <c r="F17" i="3"/>
  <c r="G17" i="3"/>
  <c r="H17" i="3"/>
  <c r="I17" i="3"/>
  <c r="F19" i="3"/>
  <c r="G20" i="3"/>
  <c r="M10" i="1"/>
  <c r="I7" i="3" s="1"/>
  <c r="K9" i="1" l="1"/>
  <c r="G6" i="3" s="1"/>
  <c r="D27" i="1"/>
  <c r="D23" i="1"/>
  <c r="D18" i="1"/>
  <c r="D13" i="1"/>
  <c r="K13" i="1" s="1"/>
  <c r="G9" i="3" s="1"/>
  <c r="C27" i="1"/>
  <c r="C23" i="1"/>
  <c r="C18" i="1"/>
  <c r="C13" i="1"/>
  <c r="E27" i="1"/>
  <c r="K27" i="1" s="1"/>
  <c r="G18" i="3" s="1"/>
  <c r="E23" i="1"/>
  <c r="E18" i="1"/>
  <c r="J57" i="2"/>
  <c r="K18" i="1" l="1"/>
  <c r="G12" i="3" s="1"/>
  <c r="K23" i="1"/>
  <c r="G15" i="3" s="1"/>
  <c r="I37" i="2"/>
  <c r="I53" i="2"/>
  <c r="I35" i="2"/>
  <c r="I34" i="2"/>
  <c r="I52" i="2"/>
  <c r="I51" i="2"/>
  <c r="I50" i="2"/>
  <c r="I49" i="2"/>
  <c r="I33" i="2"/>
  <c r="I48" i="2"/>
  <c r="I47" i="2"/>
  <c r="I46" i="2"/>
  <c r="I45" i="2"/>
  <c r="I44" i="2"/>
  <c r="I32" i="2"/>
  <c r="I31" i="2"/>
  <c r="I14" i="2"/>
  <c r="I13" i="2"/>
  <c r="I43" i="2"/>
  <c r="I42" i="2"/>
  <c r="I30" i="2"/>
  <c r="I29" i="2"/>
  <c r="I28" i="2"/>
  <c r="O26" i="2"/>
  <c r="O29" i="2" s="1"/>
  <c r="I27" i="2"/>
  <c r="I26" i="2"/>
  <c r="I25" i="2"/>
  <c r="O23" i="2"/>
  <c r="O24" i="2" s="1"/>
  <c r="I41" i="2"/>
  <c r="I40" i="2"/>
  <c r="I54" i="2" s="1"/>
  <c r="G27" i="1" s="1"/>
  <c r="I24" i="2"/>
  <c r="O20" i="2"/>
  <c r="I18" i="2"/>
  <c r="I17" i="2"/>
  <c r="I16" i="2"/>
  <c r="I19" i="2" s="1"/>
  <c r="G18" i="1" s="1"/>
  <c r="I12" i="2"/>
  <c r="O16" i="2"/>
  <c r="O17" i="2" s="1"/>
  <c r="I11" i="2"/>
  <c r="R15" i="2"/>
  <c r="I10" i="2"/>
  <c r="R14" i="2"/>
  <c r="O14" i="2"/>
  <c r="O15" i="2" s="1"/>
  <c r="I23" i="2"/>
  <c r="R13" i="2"/>
  <c r="I9" i="2"/>
  <c r="I8" i="2"/>
  <c r="I22" i="2"/>
  <c r="I7" i="2"/>
  <c r="I6" i="2"/>
  <c r="I15" i="2" s="1"/>
  <c r="G13" i="1" s="1"/>
  <c r="I21" i="2"/>
  <c r="I36" i="2" s="1"/>
  <c r="G23" i="1" s="1"/>
  <c r="I39" i="2"/>
  <c r="I38" i="2"/>
  <c r="I57" i="2" l="1"/>
  <c r="R6" i="2" l="1"/>
  <c r="Q6" i="2" s="1"/>
  <c r="S7" i="2" s="1"/>
  <c r="G9" i="1"/>
  <c r="F9" i="1" s="1"/>
  <c r="J9" i="1" s="1"/>
  <c r="K10" i="1" l="1"/>
  <c r="G7" i="3" s="1"/>
  <c r="F6" i="3"/>
  <c r="F13" i="1"/>
  <c r="F18" i="1" s="1"/>
  <c r="F23" i="1" s="1"/>
  <c r="L9" i="1"/>
  <c r="H6" i="3" s="1"/>
  <c r="O9" i="1" l="1"/>
  <c r="L10" i="1"/>
  <c r="H7" i="3" s="1"/>
  <c r="J18" i="1"/>
  <c r="J13" i="1"/>
  <c r="L18" i="1"/>
  <c r="H12" i="3" s="1"/>
  <c r="L13" i="1"/>
  <c r="H9" i="3" s="1"/>
  <c r="L23" i="1"/>
  <c r="H15" i="3" s="1"/>
  <c r="J23" i="1"/>
  <c r="F27" i="1"/>
  <c r="F12" i="3" l="1"/>
  <c r="H18" i="1"/>
  <c r="F15" i="3"/>
  <c r="H23" i="1"/>
  <c r="F9" i="3"/>
  <c r="H13" i="1"/>
  <c r="K24" i="1"/>
  <c r="G16" i="3" s="1"/>
  <c r="M24" i="1"/>
  <c r="I16" i="3" s="1"/>
  <c r="K14" i="1"/>
  <c r="G10" i="3" s="1"/>
  <c r="M14" i="1"/>
  <c r="I10" i="3" s="1"/>
  <c r="K19" i="1"/>
  <c r="G13" i="3" s="1"/>
  <c r="M19" i="1"/>
  <c r="I13" i="3" s="1"/>
  <c r="M9" i="1"/>
  <c r="I6" i="3" s="1"/>
  <c r="P9" i="1"/>
  <c r="O13" i="1"/>
  <c r="O23" i="1"/>
  <c r="M23" i="1" s="1"/>
  <c r="I15" i="3" s="1"/>
  <c r="O18" i="1"/>
  <c r="M18" i="1" s="1"/>
  <c r="I12" i="3" s="1"/>
  <c r="N9" i="1"/>
  <c r="L24" i="1"/>
  <c r="H16" i="3" s="1"/>
  <c r="L19" i="1"/>
  <c r="H13" i="3" s="1"/>
  <c r="L14" i="1"/>
  <c r="H10" i="3" s="1"/>
  <c r="L27" i="1"/>
  <c r="H18" i="3" s="1"/>
  <c r="J27" i="1"/>
  <c r="F18" i="3" l="1"/>
  <c r="H27" i="1"/>
  <c r="K28" i="1"/>
  <c r="G19" i="3" s="1"/>
  <c r="M28" i="1"/>
  <c r="I19" i="3" s="1"/>
  <c r="N23" i="1"/>
  <c r="O27" i="1"/>
  <c r="M27" i="1" s="1"/>
  <c r="I18" i="3" s="1"/>
  <c r="N18" i="1"/>
  <c r="N13" i="1"/>
  <c r="J29" i="1"/>
  <c r="L28" i="1"/>
  <c r="H19" i="3" s="1"/>
  <c r="N27" i="1" l="1"/>
</calcChain>
</file>

<file path=xl/sharedStrings.xml><?xml version="1.0" encoding="utf-8"?>
<sst xmlns="http://schemas.openxmlformats.org/spreadsheetml/2006/main" count="186" uniqueCount="81">
  <si>
    <t>Date</t>
  </si>
  <si>
    <t>Term</t>
  </si>
  <si>
    <t>Course Status</t>
  </si>
  <si>
    <t>Subject</t>
  </si>
  <si>
    <t>Course Div</t>
  </si>
  <si>
    <t>Active</t>
  </si>
  <si>
    <t>AFSC</t>
  </si>
  <si>
    <t>1. Lower</t>
  </si>
  <si>
    <t>2. Upper</t>
  </si>
  <si>
    <t>ANTH</t>
  </si>
  <si>
    <t>ARAB</t>
  </si>
  <si>
    <t>ART</t>
  </si>
  <si>
    <t>CHI</t>
  </si>
  <si>
    <t>COMM</t>
  </si>
  <si>
    <t>CRS</t>
  </si>
  <si>
    <t>DANC</t>
  </si>
  <si>
    <t>DRA</t>
  </si>
  <si>
    <t>ENG</t>
  </si>
  <si>
    <t>3. Graduate</t>
  </si>
  <si>
    <t>FREN</t>
  </si>
  <si>
    <t>HEA</t>
  </si>
  <si>
    <t>HIST</t>
  </si>
  <si>
    <t>HUM</t>
  </si>
  <si>
    <t>MSCI</t>
  </si>
  <si>
    <t>MUS</t>
  </si>
  <si>
    <t>PHIL</t>
  </si>
  <si>
    <t>POLS</t>
  </si>
  <si>
    <t>PSY</t>
  </si>
  <si>
    <t>RELS</t>
  </si>
  <si>
    <t>SOC</t>
  </si>
  <si>
    <t>SOS</t>
  </si>
  <si>
    <t>SPAN</t>
  </si>
  <si>
    <t>UHD</t>
  </si>
  <si>
    <t>201510 - Fall 2014 : 8/25-12/13</t>
  </si>
  <si>
    <t>201610 - Fall 2015: 8/24-12/16</t>
  </si>
  <si>
    <t>201710 - Fall 2016: 8/22-12/14</t>
  </si>
  <si>
    <t>Total by COLUMNS</t>
  </si>
  <si>
    <t>Weight</t>
  </si>
  <si>
    <t xml:space="preserve"> </t>
  </si>
  <si>
    <t>Weighted SCH</t>
  </si>
  <si>
    <t>CONSTANT</t>
  </si>
  <si>
    <t>NO. FAC</t>
  </si>
  <si>
    <t>WEIGHTED SCH</t>
  </si>
  <si>
    <t>TOTAL BUDGET</t>
  </si>
  <si>
    <r>
      <t>CONSTANT + b</t>
    </r>
    <r>
      <rPr>
        <b/>
        <vertAlign val="subscript"/>
        <sz val="12"/>
        <color rgb="FF00B0F0"/>
        <rFont val="Times New Roman"/>
        <family val="1"/>
      </rPr>
      <t>1</t>
    </r>
    <r>
      <rPr>
        <b/>
        <sz val="12"/>
        <color rgb="FF00B0F0"/>
        <rFont val="Times New Roman"/>
        <family val="1"/>
      </rPr>
      <t xml:space="preserve"> x NO. FAC + b</t>
    </r>
    <r>
      <rPr>
        <b/>
        <vertAlign val="subscript"/>
        <sz val="12"/>
        <color rgb="FF00B0F0"/>
        <rFont val="Times New Roman"/>
        <family val="1"/>
      </rPr>
      <t xml:space="preserve">2 </t>
    </r>
    <r>
      <rPr>
        <b/>
        <sz val="12"/>
        <color rgb="FF00B0F0"/>
        <rFont val="Times New Roman"/>
        <family val="1"/>
      </rPr>
      <t>x WEIGHTED SCH = TOTAL COLLEGE BUDGET</t>
    </r>
  </si>
  <si>
    <r>
      <t xml:space="preserve"> b</t>
    </r>
    <r>
      <rPr>
        <b/>
        <vertAlign val="subscript"/>
        <sz val="11"/>
        <rFont val="Times New Roman"/>
        <family val="1"/>
      </rPr>
      <t>1</t>
    </r>
  </si>
  <si>
    <r>
      <t>b</t>
    </r>
    <r>
      <rPr>
        <b/>
        <vertAlign val="subscript"/>
        <sz val="11"/>
        <rFont val="Times New Roman"/>
        <family val="1"/>
      </rPr>
      <t>2</t>
    </r>
  </si>
  <si>
    <t>ENGLISH</t>
  </si>
  <si>
    <t>ARTS AND COMM</t>
  </si>
  <si>
    <t>HISTORY, HUMANITIES, AND LANGUAGES</t>
  </si>
  <si>
    <t>FACULTY</t>
  </si>
  <si>
    <r>
      <t>FIXED + b</t>
    </r>
    <r>
      <rPr>
        <b/>
        <vertAlign val="subscript"/>
        <sz val="12"/>
        <color rgb="FF00B0F0"/>
        <rFont val="Times New Roman"/>
        <family val="1"/>
      </rPr>
      <t>1</t>
    </r>
    <r>
      <rPr>
        <b/>
        <sz val="12"/>
        <color rgb="FF00B0F0"/>
        <rFont val="Times New Roman"/>
        <family val="1"/>
      </rPr>
      <t xml:space="preserve"> x NO. FAC + b</t>
    </r>
    <r>
      <rPr>
        <b/>
        <vertAlign val="subscript"/>
        <sz val="12"/>
        <color rgb="FF00B0F0"/>
        <rFont val="Times New Roman"/>
        <family val="1"/>
      </rPr>
      <t xml:space="preserve">2 </t>
    </r>
    <r>
      <rPr>
        <b/>
        <sz val="12"/>
        <color rgb="FF00B0F0"/>
        <rFont val="Times New Roman"/>
        <family val="1"/>
      </rPr>
      <t>x WEIGHTED SCH = TOTAL COLLEGE BUDGET</t>
    </r>
  </si>
  <si>
    <t>FIXED</t>
  </si>
  <si>
    <t>FACULTY TERM</t>
  </si>
  <si>
    <t>WSCH TERM</t>
  </si>
  <si>
    <t>percent of budget:</t>
  </si>
  <si>
    <t>Check:</t>
  </si>
  <si>
    <t>CHSS</t>
  </si>
  <si>
    <t>The Budgeted Amount per Faculty Member</t>
  </si>
  <si>
    <t>Number of FT Faculty</t>
  </si>
  <si>
    <t>This coefficient automatically adjusts.  It represents Budgeted Amount per Weighted SCH</t>
  </si>
  <si>
    <t>Number of Weighted SCH taken from FOUR DEPTS worksheet</t>
  </si>
  <si>
    <t>M&amp;O Expenditure, FY16</t>
  </si>
  <si>
    <t>Explanation</t>
  </si>
  <si>
    <t>Percent of Budget:</t>
  </si>
  <si>
    <t>RYDEN 11/29/2016</t>
  </si>
  <si>
    <t>100% VERSION</t>
  </si>
  <si>
    <t>&lt;---check</t>
  </si>
  <si>
    <t>FIXED TERM</t>
  </si>
  <si>
    <t>HHL</t>
  </si>
  <si>
    <t>DEPT</t>
  </si>
  <si>
    <t>The fixed is split four ways</t>
  </si>
  <si>
    <r>
      <t xml:space="preserve">Adjust Blue Highlighted Cells, </t>
    </r>
    <r>
      <rPr>
        <b/>
        <u/>
        <sz val="20"/>
        <rFont val="Times New Roman"/>
        <family val="1"/>
      </rPr>
      <t xml:space="preserve">Only, </t>
    </r>
    <r>
      <rPr>
        <b/>
        <sz val="20"/>
        <rFont val="Times New Roman"/>
        <family val="1"/>
      </rPr>
      <t>and watch b</t>
    </r>
    <r>
      <rPr>
        <b/>
        <vertAlign val="subscript"/>
        <sz val="20"/>
        <rFont val="Times New Roman"/>
        <family val="1"/>
      </rPr>
      <t>2</t>
    </r>
    <r>
      <rPr>
        <b/>
        <sz val="20"/>
        <rFont val="Times New Roman"/>
        <family val="1"/>
      </rPr>
      <t xml:space="preserve"> adjust accordingly</t>
    </r>
  </si>
  <si>
    <t>COLLEGE OF HUMANITIES AND SOCIAL SCIENCES</t>
  </si>
  <si>
    <t>DEPT OF ARTS AND COMMUNICATION</t>
  </si>
  <si>
    <t>DEPARTMENT OF ENGLISH</t>
  </si>
  <si>
    <t>DEPARTMENT OF SOCIAL SCIENCES</t>
  </si>
  <si>
    <t>DEPARTMENT HISTORY, HUMANITIES, AND LANGUAGES</t>
  </si>
  <si>
    <t>NB: There are four departments (administrative units) that make up the college of Humanities and Social Science.  Scroll down to see how the model allocates the total college M&amp;O budget ($333795) between the four departments.</t>
  </si>
  <si>
    <t>David Ryden, Associate Dean: RYDEND@UHD.EDU</t>
  </si>
  <si>
    <t>UNIVERSITY OF HOUSTON-DOWNTOWN CHSS MAINTENANCE AND OPERATIONS BUDGET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</si>
</sst>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_(* #,##0_);_(* \(#,##0\);_(* &quot;-&quot;????_);_(@_)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0.0000"/>
    <numFmt numFmtId="171" formatCode="0.0"/>
  </numFmts>
  <fonts count="18" x14ac:knownFonts="1">
    <font>
      <sz val="11"/>
      <name val="Calibri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rgb="FF00B0F0"/>
      <name val="Times New Roman"/>
      <family val="1"/>
    </font>
    <font>
      <b/>
      <vertAlign val="subscript"/>
      <sz val="12"/>
      <color rgb="FF00B0F0"/>
      <name val="Times New Roman"/>
      <family val="1"/>
    </font>
    <font>
      <sz val="11"/>
      <color rgb="FF0000FF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theme="9" tint="-0.249977111117893"/>
      <name val="Times New Roman"/>
      <family val="1"/>
    </font>
    <font>
      <sz val="11"/>
      <color rgb="FFFF0000"/>
      <name val="Times New Roman"/>
      <family val="1"/>
    </font>
    <font>
      <sz val="11"/>
      <color theme="8" tint="0.79998168889431442"/>
      <name val="Times New Roman"/>
      <family val="1"/>
    </font>
    <font>
      <b/>
      <sz val="20"/>
      <name val="Times New Roman"/>
      <family val="1"/>
    </font>
    <font>
      <b/>
      <u/>
      <sz val="20"/>
      <name val="Times New Roman"/>
      <family val="1"/>
    </font>
    <font>
      <b/>
      <vertAlign val="subscript"/>
      <sz val="2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/>
    <xf numFmtId="0" fontId="7" fillId="0" borderId="2" xfId="0" applyFont="1" applyFill="1" applyBorder="1"/>
    <xf numFmtId="2" fontId="2" fillId="0" borderId="0" xfId="0" applyNumberFormat="1" applyFont="1" applyFill="1" applyBorder="1"/>
    <xf numFmtId="3" fontId="3" fillId="0" borderId="0" xfId="0" applyNumberFormat="1" applyFont="1" applyFill="1"/>
    <xf numFmtId="0" fontId="2" fillId="0" borderId="0" xfId="0" applyFont="1" applyFill="1" applyBorder="1" applyAlignment="1">
      <alignment horizontal="center" vertical="top" textRotation="90" wrapText="1"/>
    </xf>
    <xf numFmtId="0" fontId="3" fillId="0" borderId="0" xfId="0" applyFont="1" applyFill="1" applyBorder="1" applyAlignment="1">
      <alignment horizontal="center" textRotation="90"/>
    </xf>
    <xf numFmtId="0" fontId="3" fillId="0" borderId="0" xfId="0" applyFont="1" applyFill="1" applyAlignment="1">
      <alignment horizontal="center" textRotation="90"/>
    </xf>
    <xf numFmtId="0" fontId="2" fillId="0" borderId="0" xfId="0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/>
    <xf numFmtId="164" fontId="3" fillId="0" borderId="0" xfId="1" applyFont="1" applyFill="1" applyBorder="1"/>
    <xf numFmtId="165" fontId="9" fillId="0" borderId="0" xfId="1" applyNumberFormat="1" applyFont="1" applyFill="1" applyBorder="1"/>
    <xf numFmtId="3" fontId="6" fillId="0" borderId="0" xfId="0" applyNumberFormat="1" applyFont="1" applyFill="1" applyBorder="1"/>
    <xf numFmtId="2" fontId="3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/>
    </xf>
    <xf numFmtId="0" fontId="3" fillId="0" borderId="2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vertical="top"/>
    </xf>
    <xf numFmtId="3" fontId="2" fillId="0" borderId="2" xfId="0" applyNumberFormat="1" applyFont="1" applyFill="1" applyBorder="1"/>
    <xf numFmtId="2" fontId="3" fillId="0" borderId="2" xfId="0" applyNumberFormat="1" applyFont="1" applyFill="1" applyBorder="1"/>
    <xf numFmtId="0" fontId="9" fillId="0" borderId="0" xfId="0" applyFont="1" applyFill="1" applyBorder="1"/>
    <xf numFmtId="14" fontId="10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164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4" fillId="0" borderId="0" xfId="0" quotePrefix="1" applyFont="1" applyFill="1" applyAlignment="1">
      <alignment horizontal="left"/>
    </xf>
    <xf numFmtId="0" fontId="3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textRotation="90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top" wrapText="1"/>
    </xf>
    <xf numFmtId="167" fontId="1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43" fontId="7" fillId="0" borderId="0" xfId="0" applyNumberFormat="1" applyFont="1" applyFill="1" applyAlignment="1">
      <alignment horizontal="center" vertical="top"/>
    </xf>
    <xf numFmtId="43" fontId="3" fillId="0" borderId="0" xfId="0" applyNumberFormat="1" applyFont="1" applyFill="1" applyAlignment="1">
      <alignment horizontal="center" vertical="top"/>
    </xf>
    <xf numFmtId="166" fontId="3" fillId="0" borderId="0" xfId="0" applyNumberFormat="1" applyFont="1" applyFill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43" fontId="7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9" fillId="0" borderId="2" xfId="0" applyFont="1" applyFill="1" applyBorder="1"/>
    <xf numFmtId="0" fontId="12" fillId="0" borderId="2" xfId="0" applyFont="1" applyFill="1" applyBorder="1" applyAlignment="1">
      <alignment horizontal="center" vertical="top"/>
    </xf>
    <xf numFmtId="0" fontId="3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top" wrapText="1"/>
    </xf>
    <xf numFmtId="168" fontId="11" fillId="0" borderId="2" xfId="0" applyNumberFormat="1" applyFont="1" applyFill="1" applyBorder="1" applyAlignment="1">
      <alignment horizontal="center" vertical="top"/>
    </xf>
    <xf numFmtId="168" fontId="11" fillId="0" borderId="0" xfId="0" applyNumberFormat="1" applyFont="1" applyFill="1" applyAlignment="1">
      <alignment horizontal="center" vertical="top"/>
    </xf>
    <xf numFmtId="43" fontId="3" fillId="0" borderId="0" xfId="0" applyNumberFormat="1" applyFont="1" applyFill="1"/>
    <xf numFmtId="166" fontId="3" fillId="0" borderId="0" xfId="0" applyNumberFormat="1" applyFont="1" applyFill="1"/>
    <xf numFmtId="169" fontId="3" fillId="0" borderId="0" xfId="0" applyNumberFormat="1" applyFont="1" applyFill="1"/>
    <xf numFmtId="43" fontId="7" fillId="0" borderId="0" xfId="0" applyNumberFormat="1" applyFont="1" applyFill="1"/>
    <xf numFmtId="170" fontId="13" fillId="0" borderId="0" xfId="0" applyNumberFormat="1" applyFont="1" applyFill="1" applyAlignment="1">
      <alignment vertical="top"/>
    </xf>
    <xf numFmtId="170" fontId="11" fillId="0" borderId="0" xfId="0" applyNumberFormat="1" applyFont="1" applyFill="1" applyAlignment="1">
      <alignment vertical="top"/>
    </xf>
    <xf numFmtId="170" fontId="11" fillId="0" borderId="2" xfId="0" applyNumberFormat="1" applyFont="1" applyFill="1" applyBorder="1" applyAlignment="1">
      <alignment vertical="top"/>
    </xf>
    <xf numFmtId="171" fontId="11" fillId="0" borderId="2" xfId="0" applyNumberFormat="1" applyFont="1" applyFill="1" applyBorder="1" applyAlignment="1">
      <alignment vertical="top"/>
    </xf>
    <xf numFmtId="171" fontId="11" fillId="0" borderId="0" xfId="0" applyNumberFormat="1" applyFont="1" applyFill="1" applyAlignment="1">
      <alignment vertical="top"/>
    </xf>
    <xf numFmtId="0" fontId="11" fillId="0" borderId="0" xfId="0" applyFont="1" applyFill="1" applyBorder="1" applyAlignment="1">
      <alignment horizontal="center" vertical="top" wrapText="1"/>
    </xf>
    <xf numFmtId="168" fontId="11" fillId="0" borderId="0" xfId="0" applyNumberFormat="1" applyFont="1" applyFill="1" applyBorder="1" applyAlignment="1">
      <alignment horizontal="center" vertical="top"/>
    </xf>
    <xf numFmtId="171" fontId="11" fillId="0" borderId="0" xfId="0" applyNumberFormat="1" applyFont="1" applyFill="1" applyBorder="1" applyAlignment="1">
      <alignment vertical="top"/>
    </xf>
    <xf numFmtId="43" fontId="3" fillId="0" borderId="3" xfId="0" applyNumberFormat="1" applyFont="1" applyFill="1" applyBorder="1" applyAlignment="1">
      <alignment horizontal="center" vertical="top"/>
    </xf>
    <xf numFmtId="166" fontId="3" fillId="0" borderId="3" xfId="0" applyNumberFormat="1" applyFont="1" applyFill="1" applyBorder="1" applyAlignment="1">
      <alignment horizontal="center" vertical="top"/>
    </xf>
    <xf numFmtId="43" fontId="3" fillId="0" borderId="3" xfId="0" applyNumberFormat="1" applyFont="1" applyFill="1" applyBorder="1"/>
    <xf numFmtId="0" fontId="14" fillId="3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center" vertical="top"/>
    </xf>
    <xf numFmtId="164" fontId="7" fillId="3" borderId="0" xfId="1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165" fontId="17" fillId="5" borderId="0" xfId="1" applyNumberFormat="1" applyFont="1" applyFill="1" applyAlignment="1">
      <alignment horizontal="center" vertical="center"/>
    </xf>
    <xf numFmtId="165" fontId="17" fillId="5" borderId="0" xfId="0" applyNumberFormat="1" applyFont="1" applyFill="1" applyAlignment="1">
      <alignment horizontal="center" vertical="center"/>
    </xf>
    <xf numFmtId="0" fontId="4" fillId="0" borderId="0" xfId="0" quotePrefix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left" wrapText="1"/>
    </xf>
    <xf numFmtId="0" fontId="4" fillId="0" borderId="0" xfId="0" quotePrefix="1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/>
    </xf>
    <xf numFmtId="0" fontId="10" fillId="0" borderId="0" xfId="0" applyFont="1" applyFill="1" applyBorder="1" applyAlignment="1">
      <alignment horizontal="center" textRotation="90" wrapText="1"/>
    </xf>
    <xf numFmtId="0" fontId="10" fillId="0" borderId="2" xfId="0" applyFont="1" applyFill="1" applyBorder="1" applyAlignment="1">
      <alignment horizontal="center" textRotation="90" wrapText="1"/>
    </xf>
    <xf numFmtId="0" fontId="10" fillId="0" borderId="2" xfId="0" applyFont="1" applyFill="1" applyBorder="1"/>
    <xf numFmtId="0" fontId="9" fillId="0" borderId="3" xfId="0" applyFont="1" applyFill="1" applyBorder="1" applyAlignment="1">
      <alignment horizontal="center" textRotation="90"/>
    </xf>
    <xf numFmtId="0" fontId="9" fillId="0" borderId="0" xfId="0" applyFont="1" applyFill="1" applyBorder="1" applyAlignment="1">
      <alignment horizontal="center" textRotation="90"/>
    </xf>
    <xf numFmtId="0" fontId="9" fillId="0" borderId="0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="80" zoomScaleNormal="80" workbookViewId="0">
      <pane xSplit="1" ySplit="6" topLeftCell="B7" activePane="bottomRight" state="frozen"/>
      <selection pane="topRight"/>
      <selection pane="bottomLeft"/>
      <selection pane="bottomRight" activeCell="M10" sqref="M10"/>
    </sheetView>
  </sheetViews>
  <sheetFormatPr defaultColWidth="11.44140625" defaultRowHeight="13.8" x14ac:dyDescent="0.25"/>
  <cols>
    <col min="1" max="1" width="0" style="1" hidden="1" customWidth="1"/>
    <col min="2" max="2" width="4.109375" style="1" customWidth="1"/>
    <col min="3" max="3" width="14.5546875" style="1" bestFit="1" customWidth="1"/>
    <col min="4" max="5" width="11.5546875" style="1" bestFit="1" customWidth="1"/>
    <col min="6" max="6" width="13.44140625" style="1" customWidth="1"/>
    <col min="7" max="7" width="13.109375" style="1" customWidth="1"/>
    <col min="8" max="8" width="14.33203125" style="1" customWidth="1"/>
    <col min="9" max="9" width="3.88671875" style="1" customWidth="1"/>
    <col min="10" max="10" width="18.88671875" style="46" customWidth="1"/>
    <col min="11" max="11" width="14.6640625" style="46" customWidth="1"/>
    <col min="12" max="12" width="14.33203125" style="46" customWidth="1"/>
    <col min="13" max="13" width="15.6640625" style="1" customWidth="1"/>
    <col min="14" max="15" width="9.33203125" style="1" customWidth="1"/>
    <col min="16" max="16" width="12.33203125" style="1" bestFit="1" customWidth="1"/>
    <col min="17" max="16384" width="11.44140625" style="1"/>
  </cols>
  <sheetData>
    <row r="1" spans="1:18" x14ac:dyDescent="0.25">
      <c r="A1" s="80"/>
      <c r="B1" s="80" t="s">
        <v>80</v>
      </c>
      <c r="C1" s="80"/>
      <c r="D1" s="80"/>
      <c r="E1" s="80"/>
      <c r="F1" s="80"/>
      <c r="G1" s="80"/>
      <c r="H1" s="80"/>
      <c r="I1" s="80"/>
      <c r="J1" s="81"/>
      <c r="K1" s="81"/>
      <c r="L1" s="81"/>
      <c r="M1" s="80"/>
    </row>
    <row r="2" spans="1:18" x14ac:dyDescent="0.25">
      <c r="A2" s="80"/>
      <c r="B2" s="80" t="s">
        <v>79</v>
      </c>
      <c r="C2" s="80"/>
      <c r="D2" s="80"/>
      <c r="E2" s="80"/>
      <c r="F2" s="80"/>
      <c r="G2" s="80"/>
      <c r="H2" s="80"/>
      <c r="I2" s="80"/>
      <c r="J2" s="81"/>
      <c r="K2" s="81"/>
      <c r="L2" s="81"/>
      <c r="M2" s="80"/>
    </row>
    <row r="3" spans="1:18" ht="36" customHeight="1" x14ac:dyDescent="0.6">
      <c r="A3" s="7"/>
      <c r="B3" s="79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8" ht="32.25" customHeight="1" x14ac:dyDescent="0.25">
      <c r="A4" s="89" t="s">
        <v>78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8" x14ac:dyDescent="0.25">
      <c r="A5" s="7"/>
    </row>
    <row r="6" spans="1:18" ht="33" customHeight="1" x14ac:dyDescent="0.3">
      <c r="A6" s="7"/>
      <c r="B6" s="87" t="s">
        <v>51</v>
      </c>
      <c r="C6" s="87"/>
      <c r="D6" s="87"/>
      <c r="E6" s="87"/>
      <c r="F6" s="87"/>
      <c r="G6" s="87"/>
      <c r="H6" s="87"/>
      <c r="I6" s="32"/>
      <c r="K6" s="47"/>
      <c r="L6" s="47"/>
    </row>
    <row r="7" spans="1:18" ht="27.6" x14ac:dyDescent="0.25">
      <c r="B7" s="57"/>
      <c r="C7" s="58" t="s">
        <v>52</v>
      </c>
      <c r="D7" s="58" t="s">
        <v>45</v>
      </c>
      <c r="E7" s="58" t="s">
        <v>41</v>
      </c>
      <c r="F7" s="58" t="s">
        <v>46</v>
      </c>
      <c r="G7" s="59" t="s">
        <v>42</v>
      </c>
      <c r="H7" s="60" t="s">
        <v>43</v>
      </c>
      <c r="I7" s="60"/>
      <c r="J7" s="61" t="s">
        <v>43</v>
      </c>
      <c r="K7" s="61" t="s">
        <v>53</v>
      </c>
      <c r="L7" s="61" t="s">
        <v>54</v>
      </c>
      <c r="M7" s="61" t="s">
        <v>68</v>
      </c>
    </row>
    <row r="8" spans="1:18" x14ac:dyDescent="0.25">
      <c r="B8" s="25" t="s">
        <v>73</v>
      </c>
      <c r="C8" s="34"/>
      <c r="D8" s="34"/>
      <c r="E8" s="34"/>
      <c r="F8" s="34"/>
      <c r="G8" s="35"/>
      <c r="H8" s="36"/>
      <c r="I8" s="36"/>
      <c r="J8" s="48"/>
      <c r="K8" s="48"/>
      <c r="L8" s="48"/>
    </row>
    <row r="9" spans="1:18" x14ac:dyDescent="0.25">
      <c r="C9" s="82">
        <v>30000</v>
      </c>
      <c r="D9" s="82">
        <v>1500</v>
      </c>
      <c r="E9" s="34">
        <v>131</v>
      </c>
      <c r="F9" s="85">
        <f>+(H9-(C9+D9*E9))/G9</f>
        <v>1.5893078589825707</v>
      </c>
      <c r="G9" s="83">
        <f>'SCH DATA'!I57</f>
        <v>67510.51999999999</v>
      </c>
      <c r="H9" s="82">
        <v>333795</v>
      </c>
      <c r="I9" s="28"/>
      <c r="J9" s="49">
        <f>+C9+D9*E9+F9*G9</f>
        <v>333795</v>
      </c>
      <c r="K9" s="50">
        <f>+E9*D9</f>
        <v>196500</v>
      </c>
      <c r="L9" s="51">
        <f>+G9*F9</f>
        <v>107295</v>
      </c>
      <c r="M9" s="64">
        <f>+K9/O9</f>
        <v>0.64681775539426256</v>
      </c>
      <c r="N9" s="66">
        <f>+L9/O9</f>
        <v>0.35318224460573744</v>
      </c>
      <c r="O9" s="65">
        <f>+K9+L9</f>
        <v>303795</v>
      </c>
      <c r="P9" s="67">
        <f>O9+C9</f>
        <v>333795</v>
      </c>
      <c r="Q9" s="1" t="s">
        <v>67</v>
      </c>
    </row>
    <row r="10" spans="1:18" ht="110.4" x14ac:dyDescent="0.25">
      <c r="A10" s="39" t="s">
        <v>63</v>
      </c>
      <c r="C10" s="37" t="s">
        <v>71</v>
      </c>
      <c r="D10" s="37" t="s">
        <v>58</v>
      </c>
      <c r="E10" s="37" t="s">
        <v>59</v>
      </c>
      <c r="F10" s="37" t="s">
        <v>60</v>
      </c>
      <c r="G10" s="37" t="s">
        <v>61</v>
      </c>
      <c r="H10" s="38" t="s">
        <v>62</v>
      </c>
      <c r="I10" s="28"/>
      <c r="J10" s="43" t="s">
        <v>64</v>
      </c>
      <c r="K10" s="63">
        <f>+K9/J9*100</f>
        <v>58.868467172965445</v>
      </c>
      <c r="L10" s="63">
        <f>+L9/J9*100</f>
        <v>32.14398058688716</v>
      </c>
      <c r="M10" s="69">
        <f>C9/H9*100</f>
        <v>8.9875522401473962</v>
      </c>
    </row>
    <row r="11" spans="1:18" x14ac:dyDescent="0.25">
      <c r="B11" s="55" t="s">
        <v>74</v>
      </c>
      <c r="C11" s="45"/>
      <c r="D11" s="45"/>
      <c r="E11" s="45"/>
      <c r="F11" s="45"/>
      <c r="G11" s="45"/>
      <c r="H11" s="45"/>
      <c r="I11" s="45"/>
      <c r="J11" s="56"/>
      <c r="K11" s="56"/>
      <c r="L11" s="56"/>
      <c r="M11" s="20"/>
    </row>
    <row r="12" spans="1:18" ht="27.6" x14ac:dyDescent="0.25">
      <c r="B12" s="57"/>
      <c r="C12" s="58" t="s">
        <v>52</v>
      </c>
      <c r="D12" s="58" t="s">
        <v>45</v>
      </c>
      <c r="E12" s="58" t="s">
        <v>41</v>
      </c>
      <c r="F12" s="58" t="s">
        <v>46</v>
      </c>
      <c r="G12" s="59" t="s">
        <v>42</v>
      </c>
      <c r="H12" s="60" t="s">
        <v>43</v>
      </c>
      <c r="I12" s="60"/>
      <c r="J12" s="61" t="s">
        <v>43</v>
      </c>
      <c r="K12" s="61" t="s">
        <v>53</v>
      </c>
      <c r="L12" s="61" t="s">
        <v>54</v>
      </c>
      <c r="M12" s="61" t="s">
        <v>68</v>
      </c>
      <c r="R12" s="1">
        <f>303795/1.59</f>
        <v>191066.03773584904</v>
      </c>
    </row>
    <row r="13" spans="1:18" x14ac:dyDescent="0.25">
      <c r="C13" s="30">
        <f>+C9/4</f>
        <v>7500</v>
      </c>
      <c r="D13" s="29">
        <f>+D9</f>
        <v>1500</v>
      </c>
      <c r="E13" s="29">
        <v>31</v>
      </c>
      <c r="F13" s="86">
        <f>+F9</f>
        <v>1.5893078589825707</v>
      </c>
      <c r="G13" s="28">
        <f>+'SCH DATA'!I15</f>
        <v>15052.32</v>
      </c>
      <c r="H13" s="30">
        <f>J13</f>
        <v>77922.770471920521</v>
      </c>
      <c r="I13" s="30"/>
      <c r="J13" s="50">
        <f>+C13+D13*E13+F13*G13</f>
        <v>77922.770471920521</v>
      </c>
      <c r="K13" s="50">
        <f>+E13*D13</f>
        <v>46500</v>
      </c>
      <c r="L13" s="51">
        <f>+G13*F13</f>
        <v>23922.770471920529</v>
      </c>
      <c r="M13" s="68" t="s">
        <v>38</v>
      </c>
      <c r="N13" s="66">
        <f>+L13/O13</f>
        <v>0.33970220585768052</v>
      </c>
      <c r="O13" s="65">
        <f>+K13+L13</f>
        <v>70422.770471920521</v>
      </c>
    </row>
    <row r="14" spans="1:18" x14ac:dyDescent="0.25">
      <c r="C14" s="29"/>
      <c r="D14" s="29"/>
      <c r="E14" s="29"/>
      <c r="F14" s="29"/>
      <c r="G14" s="29"/>
      <c r="H14" s="29"/>
      <c r="I14" s="29"/>
      <c r="J14" s="43" t="s">
        <v>55</v>
      </c>
      <c r="K14" s="63">
        <f>+K13/J13*100</f>
        <v>59.67446962984495</v>
      </c>
      <c r="L14" s="63">
        <f>+L13/J13*100</f>
        <v>30.700615913728452</v>
      </c>
      <c r="M14" s="69">
        <f>C13/J13*100</f>
        <v>9.6249144564266054</v>
      </c>
    </row>
    <row r="15" spans="1:18" x14ac:dyDescent="0.25">
      <c r="C15" s="29"/>
      <c r="D15" s="29"/>
      <c r="E15" s="29"/>
      <c r="F15" s="29"/>
      <c r="G15" s="29"/>
      <c r="H15" s="29"/>
      <c r="I15" s="29"/>
      <c r="J15" s="43"/>
      <c r="K15" s="44"/>
      <c r="L15" s="44"/>
    </row>
    <row r="16" spans="1:18" x14ac:dyDescent="0.25">
      <c r="B16" s="55" t="s">
        <v>75</v>
      </c>
      <c r="C16" s="45"/>
      <c r="D16" s="45"/>
      <c r="E16" s="45"/>
      <c r="F16" s="45"/>
      <c r="G16" s="45"/>
      <c r="H16" s="45"/>
      <c r="I16" s="45"/>
      <c r="J16" s="56"/>
      <c r="K16" s="56"/>
      <c r="L16" s="56"/>
      <c r="M16" s="20"/>
      <c r="R16" s="1">
        <f>30000 +(1500*202.5)</f>
        <v>333750</v>
      </c>
    </row>
    <row r="17" spans="2:15" ht="27.6" x14ac:dyDescent="0.25">
      <c r="B17" s="57"/>
      <c r="C17" s="58" t="s">
        <v>52</v>
      </c>
      <c r="D17" s="58" t="s">
        <v>45</v>
      </c>
      <c r="E17" s="58" t="s">
        <v>41</v>
      </c>
      <c r="F17" s="58" t="s">
        <v>46</v>
      </c>
      <c r="G17" s="59" t="s">
        <v>42</v>
      </c>
      <c r="H17" s="60" t="s">
        <v>43</v>
      </c>
      <c r="I17" s="60"/>
      <c r="J17" s="61" t="s">
        <v>43</v>
      </c>
      <c r="K17" s="61" t="s">
        <v>53</v>
      </c>
      <c r="L17" s="61" t="s">
        <v>54</v>
      </c>
      <c r="M17" s="61" t="s">
        <v>68</v>
      </c>
    </row>
    <row r="18" spans="2:15" x14ac:dyDescent="0.25">
      <c r="C18" s="30">
        <f>+C9/4</f>
        <v>7500</v>
      </c>
      <c r="D18" s="31">
        <f>+D9</f>
        <v>1500</v>
      </c>
      <c r="E18" s="29">
        <f>+'SCH DATA'!J19</f>
        <v>44</v>
      </c>
      <c r="F18" s="84">
        <f>+F13</f>
        <v>1.5893078589825707</v>
      </c>
      <c r="G18" s="28">
        <f>+'SCH DATA'!I19</f>
        <v>14572.2</v>
      </c>
      <c r="H18" s="30">
        <f>J18</f>
        <v>96659.711982665816</v>
      </c>
      <c r="I18" s="30"/>
      <c r="J18" s="50">
        <f>+C18+D18*E18+F18*G18</f>
        <v>96659.711982665816</v>
      </c>
      <c r="K18" s="50">
        <f>+E18*D18</f>
        <v>66000</v>
      </c>
      <c r="L18" s="51">
        <f>+G18*F18</f>
        <v>23159.711982665816</v>
      </c>
      <c r="M18" s="64">
        <f>+K18/O18</f>
        <v>0.74024465234736891</v>
      </c>
      <c r="N18" s="66">
        <f>+L18/O18</f>
        <v>0.25975534765263109</v>
      </c>
      <c r="O18" s="65">
        <f>+K18+L18</f>
        <v>89159.711982665816</v>
      </c>
    </row>
    <row r="19" spans="2:15" x14ac:dyDescent="0.25">
      <c r="C19" s="29"/>
      <c r="D19" s="29"/>
      <c r="E19" s="29"/>
      <c r="F19" s="29"/>
      <c r="G19" s="29"/>
      <c r="H19" s="29"/>
      <c r="I19" s="29"/>
      <c r="J19" s="43" t="s">
        <v>55</v>
      </c>
      <c r="K19" s="63">
        <f>+K18/J18*100</f>
        <v>68.280774529760563</v>
      </c>
      <c r="L19" s="63">
        <f>+L18/J18*100</f>
        <v>23.960046546403007</v>
      </c>
      <c r="M19" s="69">
        <f>C18/J18*100</f>
        <v>7.7591789238364282</v>
      </c>
    </row>
    <row r="20" spans="2:15" x14ac:dyDescent="0.25">
      <c r="C20" s="29"/>
      <c r="D20" s="29"/>
      <c r="E20" s="29"/>
      <c r="F20" s="29"/>
      <c r="G20" s="29"/>
      <c r="H20" s="29"/>
      <c r="I20" s="29"/>
      <c r="J20" s="43"/>
      <c r="K20" s="44"/>
      <c r="L20" s="44"/>
    </row>
    <row r="21" spans="2:15" x14ac:dyDescent="0.25">
      <c r="B21" s="55" t="s">
        <v>77</v>
      </c>
      <c r="C21" s="45"/>
      <c r="D21" s="45"/>
      <c r="E21" s="45"/>
      <c r="F21" s="45"/>
      <c r="G21" s="45"/>
      <c r="H21" s="45"/>
      <c r="I21" s="45"/>
      <c r="J21" s="56"/>
      <c r="K21" s="56"/>
      <c r="L21" s="56"/>
      <c r="M21" s="20"/>
    </row>
    <row r="22" spans="2:15" ht="27.6" x14ac:dyDescent="0.25">
      <c r="B22" s="57"/>
      <c r="C22" s="58" t="s">
        <v>52</v>
      </c>
      <c r="D22" s="58" t="s">
        <v>45</v>
      </c>
      <c r="E22" s="58" t="s">
        <v>41</v>
      </c>
      <c r="F22" s="58" t="s">
        <v>46</v>
      </c>
      <c r="G22" s="59" t="s">
        <v>42</v>
      </c>
      <c r="H22" s="60" t="s">
        <v>43</v>
      </c>
      <c r="I22" s="60"/>
      <c r="J22" s="61" t="s">
        <v>43</v>
      </c>
      <c r="K22" s="61" t="s">
        <v>53</v>
      </c>
      <c r="L22" s="61" t="s">
        <v>54</v>
      </c>
      <c r="M22" s="61" t="s">
        <v>68</v>
      </c>
    </row>
    <row r="23" spans="2:15" x14ac:dyDescent="0.25">
      <c r="B23" s="1" t="s">
        <v>38</v>
      </c>
      <c r="C23" s="30">
        <f>+C9/4</f>
        <v>7500</v>
      </c>
      <c r="D23" s="31">
        <f>+D9</f>
        <v>1500</v>
      </c>
      <c r="E23" s="29">
        <f>+'SCH DATA'!J36</f>
        <v>24</v>
      </c>
      <c r="F23" s="84">
        <f>+F18</f>
        <v>1.5893078589825707</v>
      </c>
      <c r="G23" s="28">
        <f>+'SCH DATA'!I36</f>
        <v>13430.8</v>
      </c>
      <c r="H23" s="30">
        <f>J23</f>
        <v>64845.675992423108</v>
      </c>
      <c r="I23" s="30"/>
      <c r="J23" s="50">
        <f>+C23+D23*E23+F23*G23</f>
        <v>64845.675992423108</v>
      </c>
      <c r="K23" s="50">
        <f>+E23*D23</f>
        <v>36000</v>
      </c>
      <c r="L23" s="51">
        <f>+G23*F23</f>
        <v>21345.675992423108</v>
      </c>
      <c r="M23" s="64">
        <f>+K23/O23</f>
        <v>0.62777183069141185</v>
      </c>
      <c r="N23" s="66">
        <f>+L23/O23</f>
        <v>0.37222816930858815</v>
      </c>
      <c r="O23" s="65">
        <f>+K23+L23</f>
        <v>57345.675992423108</v>
      </c>
    </row>
    <row r="24" spans="2:15" x14ac:dyDescent="0.25">
      <c r="C24" s="29"/>
      <c r="D24" s="29"/>
      <c r="E24" s="29"/>
      <c r="F24" s="29"/>
      <c r="G24" s="29"/>
      <c r="H24" s="29"/>
      <c r="I24" s="29"/>
      <c r="J24" s="43" t="s">
        <v>55</v>
      </c>
      <c r="K24" s="63">
        <f>+K23/J23*100</f>
        <v>55.516423337473455</v>
      </c>
      <c r="L24" s="63">
        <f>+L23/J23*100</f>
        <v>32.91765513388625</v>
      </c>
      <c r="M24" s="69">
        <f>C23/J23*100</f>
        <v>11.565921528640303</v>
      </c>
    </row>
    <row r="25" spans="2:15" x14ac:dyDescent="0.25">
      <c r="B25" s="55" t="s">
        <v>76</v>
      </c>
      <c r="C25" s="45"/>
      <c r="D25" s="45"/>
      <c r="E25" s="45"/>
      <c r="F25" s="45"/>
      <c r="G25" s="45"/>
      <c r="H25" s="45"/>
      <c r="I25" s="45"/>
      <c r="J25" s="56"/>
      <c r="K25" s="56"/>
      <c r="L25" s="56"/>
      <c r="M25" s="20"/>
    </row>
    <row r="26" spans="2:15" ht="27.6" x14ac:dyDescent="0.25">
      <c r="B26" s="57"/>
      <c r="C26" s="58" t="s">
        <v>52</v>
      </c>
      <c r="D26" s="58" t="s">
        <v>45</v>
      </c>
      <c r="E26" s="58" t="s">
        <v>41</v>
      </c>
      <c r="F26" s="58" t="s">
        <v>46</v>
      </c>
      <c r="G26" s="59" t="s">
        <v>42</v>
      </c>
      <c r="H26" s="60" t="s">
        <v>43</v>
      </c>
      <c r="I26" s="60"/>
      <c r="J26" s="61" t="s">
        <v>43</v>
      </c>
      <c r="K26" s="61" t="s">
        <v>53</v>
      </c>
      <c r="L26" s="61" t="s">
        <v>54</v>
      </c>
      <c r="M26" s="61" t="s">
        <v>68</v>
      </c>
    </row>
    <row r="27" spans="2:15" x14ac:dyDescent="0.25">
      <c r="C27" s="30">
        <f>+C9/4</f>
        <v>7500</v>
      </c>
      <c r="D27" s="31">
        <f>+D9</f>
        <v>1500</v>
      </c>
      <c r="E27" s="29">
        <f>+'SCH DATA'!J54</f>
        <v>32</v>
      </c>
      <c r="F27" s="84">
        <f>+F23</f>
        <v>1.5893078589825707</v>
      </c>
      <c r="G27" s="28">
        <f>+'SCH DATA'!I54</f>
        <v>24455.199999999997</v>
      </c>
      <c r="H27" s="30">
        <f>J27</f>
        <v>94366.841552990547</v>
      </c>
      <c r="I27" s="30"/>
      <c r="J27" s="50">
        <f>+C27+D27*E27+F27*G27</f>
        <v>94366.841552990547</v>
      </c>
      <c r="K27" s="50">
        <f>+E27*D27</f>
        <v>48000</v>
      </c>
      <c r="L27" s="51">
        <f>+G27*F27</f>
        <v>38866.841552990554</v>
      </c>
      <c r="M27" s="64">
        <f>+K27/O27</f>
        <v>0.55256987754894971</v>
      </c>
      <c r="N27" s="66">
        <f>+L27/O27</f>
        <v>0.4474301224510504</v>
      </c>
      <c r="O27" s="65">
        <f>+K27+L27</f>
        <v>86866.841552990547</v>
      </c>
    </row>
    <row r="28" spans="2:15" x14ac:dyDescent="0.25">
      <c r="B28" s="20"/>
      <c r="C28" s="33"/>
      <c r="D28" s="33"/>
      <c r="E28" s="33"/>
      <c r="F28" s="33"/>
      <c r="G28" s="33"/>
      <c r="H28" s="33"/>
      <c r="I28" s="33"/>
      <c r="J28" s="52" t="s">
        <v>55</v>
      </c>
      <c r="K28" s="62">
        <f>+K27/J27*100</f>
        <v>50.865324313144669</v>
      </c>
      <c r="L28" s="62">
        <f>+L27/J27*100</f>
        <v>41.18696876292649</v>
      </c>
      <c r="M28" s="70">
        <f>C27/J27*100</f>
        <v>7.9477069239288527</v>
      </c>
    </row>
    <row r="29" spans="2:15" x14ac:dyDescent="0.25">
      <c r="B29" s="40"/>
      <c r="C29" s="41"/>
      <c r="D29" s="41"/>
      <c r="E29" s="41"/>
      <c r="F29" s="41"/>
      <c r="G29" s="41"/>
      <c r="H29" s="42" t="s">
        <v>56</v>
      </c>
      <c r="I29" s="42"/>
      <c r="J29" s="53">
        <f>SUM(J13:J27)</f>
        <v>333795</v>
      </c>
      <c r="K29" s="54"/>
      <c r="L29" s="54"/>
      <c r="M29" s="40"/>
    </row>
    <row r="30" spans="2:15" x14ac:dyDescent="0.25">
      <c r="B30" s="1" t="s">
        <v>66</v>
      </c>
      <c r="K30" s="88" t="s">
        <v>65</v>
      </c>
      <c r="L30" s="88"/>
      <c r="M30" s="88"/>
    </row>
    <row r="34" spans="2:2" x14ac:dyDescent="0.25">
      <c r="B34" s="4" t="s">
        <v>38</v>
      </c>
    </row>
  </sheetData>
  <mergeCells count="3">
    <mergeCell ref="B6:H6"/>
    <mergeCell ref="K30:M30"/>
    <mergeCell ref="A4:M4"/>
  </mergeCells>
  <pageMargins left="0.2" right="0.2" top="0.25" bottom="0.25" header="0.3" footer="0.3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L4" sqref="L4"/>
    </sheetView>
  </sheetViews>
  <sheetFormatPr defaultColWidth="11.44140625" defaultRowHeight="13.8" x14ac:dyDescent="0.25"/>
  <cols>
    <col min="1" max="1" width="11.44140625" style="9"/>
    <col min="2" max="2" width="5" style="9" customWidth="1"/>
    <col min="3" max="3" width="17.88671875" style="9" customWidth="1"/>
    <col min="4" max="4" width="18.6640625" style="9" customWidth="1"/>
    <col min="5" max="7" width="13.5546875" style="9" customWidth="1"/>
    <col min="8" max="8" width="7.88671875" style="9" customWidth="1"/>
    <col min="9" max="13" width="11.44140625" style="9"/>
    <col min="14" max="14" width="12" style="9" bestFit="1" customWidth="1"/>
    <col min="15" max="16" width="11.5546875" style="9" bestFit="1" customWidth="1"/>
    <col min="17" max="17" width="13.44140625" style="9" customWidth="1"/>
    <col min="18" max="18" width="13.109375" style="9" customWidth="1"/>
    <col min="19" max="19" width="14.33203125" style="9" customWidth="1"/>
    <col min="20" max="16384" width="11.44140625" style="9"/>
  </cols>
  <sheetData>
    <row r="1" spans="1:19" ht="15" customHeight="1" x14ac:dyDescent="0.25">
      <c r="A1" s="17"/>
      <c r="B1" s="92" t="s">
        <v>0</v>
      </c>
      <c r="C1" s="92"/>
      <c r="D1" s="92"/>
      <c r="E1" s="26">
        <v>41968</v>
      </c>
      <c r="F1" s="26">
        <v>42332</v>
      </c>
      <c r="G1" s="26">
        <v>42696</v>
      </c>
      <c r="H1" s="93" t="s">
        <v>37</v>
      </c>
      <c r="I1" s="93" t="s">
        <v>39</v>
      </c>
      <c r="J1" s="6"/>
      <c r="K1" s="6"/>
      <c r="L1" s="6"/>
    </row>
    <row r="2" spans="1:19" x14ac:dyDescent="0.25">
      <c r="A2" s="17"/>
      <c r="B2" s="92" t="s">
        <v>1</v>
      </c>
      <c r="C2" s="92"/>
      <c r="D2" s="92"/>
      <c r="E2" s="95" t="s">
        <v>33</v>
      </c>
      <c r="F2" s="95" t="s">
        <v>34</v>
      </c>
      <c r="G2" s="95" t="s">
        <v>35</v>
      </c>
      <c r="H2" s="93"/>
      <c r="I2" s="93"/>
      <c r="J2" s="6"/>
      <c r="K2" s="6"/>
      <c r="L2" s="6"/>
    </row>
    <row r="3" spans="1:19" x14ac:dyDescent="0.25">
      <c r="A3" s="17"/>
      <c r="B3" s="92" t="s">
        <v>2</v>
      </c>
      <c r="C3" s="92" t="s">
        <v>3</v>
      </c>
      <c r="D3" s="92" t="s">
        <v>4</v>
      </c>
      <c r="E3" s="95"/>
      <c r="F3" s="95"/>
      <c r="G3" s="95"/>
      <c r="H3" s="93"/>
      <c r="I3" s="93"/>
      <c r="J3" s="6"/>
      <c r="K3" s="6"/>
      <c r="L3" s="6"/>
    </row>
    <row r="4" spans="1:19" ht="88.5" customHeight="1" x14ac:dyDescent="0.4">
      <c r="A4" s="2"/>
      <c r="B4" s="97"/>
      <c r="C4" s="97"/>
      <c r="D4" s="97"/>
      <c r="E4" s="96"/>
      <c r="F4" s="96"/>
      <c r="G4" s="96"/>
      <c r="H4" s="94"/>
      <c r="I4" s="94"/>
      <c r="J4" s="27" t="s">
        <v>50</v>
      </c>
      <c r="K4" s="6"/>
      <c r="L4" s="6"/>
      <c r="M4" s="90" t="s">
        <v>44</v>
      </c>
      <c r="N4" s="90"/>
      <c r="O4" s="90"/>
      <c r="P4" s="90"/>
      <c r="Q4" s="90"/>
      <c r="R4" s="90"/>
      <c r="S4" s="90"/>
    </row>
    <row r="5" spans="1:19" ht="28.8" x14ac:dyDescent="0.35">
      <c r="A5" s="25" t="s">
        <v>48</v>
      </c>
      <c r="N5" s="17" t="s">
        <v>40</v>
      </c>
      <c r="O5" s="17" t="s">
        <v>45</v>
      </c>
      <c r="P5" s="17" t="s">
        <v>41</v>
      </c>
      <c r="Q5" s="17" t="s">
        <v>46</v>
      </c>
      <c r="R5" s="18" t="s">
        <v>42</v>
      </c>
      <c r="S5" s="18" t="s">
        <v>43</v>
      </c>
    </row>
    <row r="6" spans="1:19" x14ac:dyDescent="0.25">
      <c r="C6" s="19" t="s">
        <v>11</v>
      </c>
      <c r="D6" s="19" t="s">
        <v>7</v>
      </c>
      <c r="E6" s="10">
        <v>2085</v>
      </c>
      <c r="F6" s="10">
        <v>1881</v>
      </c>
      <c r="G6" s="10">
        <v>1842</v>
      </c>
      <c r="H6" s="3">
        <v>1.47</v>
      </c>
      <c r="I6" s="9">
        <f t="shared" ref="I6:I14" si="0">+G6*H6</f>
        <v>2707.74</v>
      </c>
      <c r="N6" s="11">
        <v>15000</v>
      </c>
      <c r="O6" s="11">
        <v>3000</v>
      </c>
      <c r="P6" s="11">
        <v>120</v>
      </c>
      <c r="Q6" s="12">
        <f>+(S6-(N6+O6*120))/R6</f>
        <v>-1.5405006508615253</v>
      </c>
      <c r="R6" s="11">
        <f>+I57</f>
        <v>67510.51999999999</v>
      </c>
      <c r="S6" s="11">
        <v>271000</v>
      </c>
    </row>
    <row r="7" spans="1:19" x14ac:dyDescent="0.25">
      <c r="C7" s="19"/>
      <c r="D7" s="8" t="s">
        <v>8</v>
      </c>
      <c r="E7" s="10">
        <v>336</v>
      </c>
      <c r="F7" s="10">
        <v>198</v>
      </c>
      <c r="G7" s="10">
        <v>309</v>
      </c>
      <c r="H7" s="3">
        <v>2.52</v>
      </c>
      <c r="I7" s="9">
        <f t="shared" si="0"/>
        <v>778.68</v>
      </c>
      <c r="S7" s="11">
        <f>+N6+O6*P6+Q6*R6</f>
        <v>271000</v>
      </c>
    </row>
    <row r="8" spans="1:19" x14ac:dyDescent="0.25">
      <c r="C8" s="19" t="s">
        <v>13</v>
      </c>
      <c r="D8" s="19" t="s">
        <v>7</v>
      </c>
      <c r="E8" s="10">
        <v>3348</v>
      </c>
      <c r="F8" s="10">
        <v>3318</v>
      </c>
      <c r="G8" s="10">
        <v>2889</v>
      </c>
      <c r="H8" s="3">
        <v>1</v>
      </c>
      <c r="I8" s="9">
        <f t="shared" si="0"/>
        <v>2889</v>
      </c>
    </row>
    <row r="9" spans="1:19" x14ac:dyDescent="0.25">
      <c r="C9" s="19"/>
      <c r="D9" s="8" t="s">
        <v>8</v>
      </c>
      <c r="E9" s="10">
        <v>3198</v>
      </c>
      <c r="F9" s="10">
        <v>3138</v>
      </c>
      <c r="G9" s="10">
        <v>3393</v>
      </c>
      <c r="H9" s="3">
        <v>1.76</v>
      </c>
      <c r="I9" s="9">
        <f t="shared" si="0"/>
        <v>5971.68</v>
      </c>
    </row>
    <row r="10" spans="1:19" x14ac:dyDescent="0.25">
      <c r="B10" s="8"/>
      <c r="C10" s="8" t="s">
        <v>15</v>
      </c>
      <c r="D10" s="19" t="s">
        <v>7</v>
      </c>
      <c r="E10" s="10">
        <v>30</v>
      </c>
      <c r="F10" s="10">
        <v>39</v>
      </c>
      <c r="G10" s="13">
        <v>0</v>
      </c>
      <c r="H10" s="14">
        <v>1</v>
      </c>
      <c r="I10" s="9">
        <f t="shared" si="0"/>
        <v>0</v>
      </c>
    </row>
    <row r="11" spans="1:19" x14ac:dyDescent="0.25">
      <c r="B11" s="8"/>
      <c r="C11" s="19" t="s">
        <v>16</v>
      </c>
      <c r="D11" s="19" t="s">
        <v>7</v>
      </c>
      <c r="E11" s="10">
        <v>1059</v>
      </c>
      <c r="F11" s="10">
        <v>1095</v>
      </c>
      <c r="G11" s="10">
        <v>915</v>
      </c>
      <c r="H11" s="14">
        <v>1.47</v>
      </c>
      <c r="I11" s="9">
        <f t="shared" si="0"/>
        <v>1345.05</v>
      </c>
    </row>
    <row r="12" spans="1:19" x14ac:dyDescent="0.25">
      <c r="B12" s="8"/>
      <c r="C12" s="19"/>
      <c r="D12" s="8" t="s">
        <v>8</v>
      </c>
      <c r="E12" s="10">
        <v>243</v>
      </c>
      <c r="F12" s="10">
        <v>213</v>
      </c>
      <c r="G12" s="10">
        <v>201</v>
      </c>
      <c r="H12" s="14">
        <v>2.52</v>
      </c>
      <c r="I12" s="9">
        <f t="shared" si="0"/>
        <v>506.52</v>
      </c>
    </row>
    <row r="13" spans="1:19" x14ac:dyDescent="0.25">
      <c r="B13" s="8"/>
      <c r="C13" s="19" t="s">
        <v>24</v>
      </c>
      <c r="D13" s="19" t="s">
        <v>7</v>
      </c>
      <c r="E13" s="10">
        <v>417</v>
      </c>
      <c r="F13" s="10">
        <v>492</v>
      </c>
      <c r="G13" s="10">
        <v>411</v>
      </c>
      <c r="H13" s="14">
        <v>1.47</v>
      </c>
      <c r="I13" s="9">
        <f t="shared" si="0"/>
        <v>604.16999999999996</v>
      </c>
      <c r="R13" s="9">
        <f>3000/1.12</f>
        <v>2678.5714285714284</v>
      </c>
    </row>
    <row r="14" spans="1:19" x14ac:dyDescent="0.25">
      <c r="A14" s="20"/>
      <c r="B14" s="21"/>
      <c r="C14" s="22"/>
      <c r="D14" s="21" t="s">
        <v>8</v>
      </c>
      <c r="E14" s="23">
        <v>111</v>
      </c>
      <c r="F14" s="23">
        <v>126</v>
      </c>
      <c r="G14" s="23">
        <v>99</v>
      </c>
      <c r="H14" s="24">
        <v>2.52</v>
      </c>
      <c r="I14" s="20">
        <f t="shared" si="0"/>
        <v>249.48</v>
      </c>
      <c r="J14" s="20"/>
      <c r="O14" s="9">
        <f>450000-15000</f>
        <v>435000</v>
      </c>
      <c r="R14" s="9">
        <f>435000/3000</f>
        <v>145</v>
      </c>
    </row>
    <row r="15" spans="1:19" x14ac:dyDescent="0.25">
      <c r="B15" s="8"/>
      <c r="C15" s="8"/>
      <c r="D15" s="8"/>
      <c r="E15" s="5"/>
      <c r="F15" s="5"/>
      <c r="G15" s="5"/>
      <c r="H15" s="6"/>
      <c r="I15" s="15">
        <f>SUM(I6:I14)</f>
        <v>15052.32</v>
      </c>
      <c r="J15" s="15">
        <v>31</v>
      </c>
      <c r="K15" s="15"/>
      <c r="L15" s="15"/>
      <c r="M15" s="9" t="s">
        <v>38</v>
      </c>
      <c r="N15" s="9" t="s">
        <v>38</v>
      </c>
      <c r="O15" s="9">
        <f>+O14/3000</f>
        <v>145</v>
      </c>
      <c r="R15" s="9">
        <f>145*3000/1.12</f>
        <v>388392.8571428571</v>
      </c>
    </row>
    <row r="16" spans="1:19" x14ac:dyDescent="0.25">
      <c r="A16" s="25" t="s">
        <v>47</v>
      </c>
      <c r="C16" s="19" t="s">
        <v>17</v>
      </c>
      <c r="D16" s="19" t="s">
        <v>7</v>
      </c>
      <c r="E16" s="10">
        <v>7284</v>
      </c>
      <c r="F16" s="10">
        <v>5940</v>
      </c>
      <c r="G16" s="10">
        <v>5073</v>
      </c>
      <c r="H16" s="14">
        <v>1</v>
      </c>
      <c r="I16" s="9">
        <f>+G16*H16</f>
        <v>5073</v>
      </c>
      <c r="O16" s="9">
        <f>145+3000</f>
        <v>3145</v>
      </c>
    </row>
    <row r="17" spans="1:15" x14ac:dyDescent="0.25">
      <c r="C17" s="19"/>
      <c r="D17" s="8" t="s">
        <v>8</v>
      </c>
      <c r="E17" s="10">
        <v>4743</v>
      </c>
      <c r="F17" s="10">
        <v>4626</v>
      </c>
      <c r="G17" s="10">
        <v>4470</v>
      </c>
      <c r="H17" s="14">
        <v>1.76</v>
      </c>
      <c r="I17" s="9">
        <f>+G17*H17</f>
        <v>7867.2</v>
      </c>
      <c r="O17" s="9">
        <f>+O16/1.1248</f>
        <v>2796.0526315789475</v>
      </c>
    </row>
    <row r="18" spans="1:15" x14ac:dyDescent="0.25">
      <c r="A18" s="20"/>
      <c r="B18" s="20"/>
      <c r="C18" s="22"/>
      <c r="D18" s="21" t="s">
        <v>18</v>
      </c>
      <c r="E18" s="23">
        <v>225</v>
      </c>
      <c r="F18" s="23">
        <v>351</v>
      </c>
      <c r="G18" s="23">
        <v>408</v>
      </c>
      <c r="H18" s="24">
        <v>4</v>
      </c>
      <c r="I18" s="20">
        <f>+G18*H18</f>
        <v>1632</v>
      </c>
      <c r="J18" s="20"/>
    </row>
    <row r="19" spans="1:15" x14ac:dyDescent="0.25">
      <c r="B19" s="8"/>
      <c r="C19" s="8"/>
      <c r="D19" s="8"/>
      <c r="E19" s="5"/>
      <c r="F19" s="5"/>
      <c r="G19" s="5"/>
      <c r="H19" s="6"/>
      <c r="I19" s="15">
        <f>SUM(I16:I18)</f>
        <v>14572.2</v>
      </c>
      <c r="J19" s="15">
        <v>44</v>
      </c>
      <c r="K19" s="15"/>
      <c r="L19" s="15"/>
    </row>
    <row r="20" spans="1:15" x14ac:dyDescent="0.25">
      <c r="A20" s="25" t="s">
        <v>49</v>
      </c>
      <c r="B20" s="8"/>
      <c r="C20" s="8"/>
      <c r="D20" s="8"/>
      <c r="E20" s="5"/>
      <c r="F20" s="5"/>
      <c r="G20" s="5"/>
      <c r="H20" s="6"/>
      <c r="I20" s="6"/>
      <c r="J20" s="6"/>
      <c r="K20" s="6"/>
      <c r="L20" s="6"/>
      <c r="O20" s="9">
        <f>145*3000</f>
        <v>435000</v>
      </c>
    </row>
    <row r="21" spans="1:15" x14ac:dyDescent="0.25">
      <c r="B21" s="8"/>
      <c r="C21" s="8" t="s">
        <v>10</v>
      </c>
      <c r="D21" s="19" t="s">
        <v>7</v>
      </c>
      <c r="E21" s="10">
        <v>52</v>
      </c>
      <c r="F21" s="10">
        <v>104</v>
      </c>
      <c r="G21" s="10">
        <v>84</v>
      </c>
      <c r="H21" s="3">
        <v>1</v>
      </c>
      <c r="I21" s="9">
        <f t="shared" ref="I21:I35" si="1">+G21*H21</f>
        <v>84</v>
      </c>
    </row>
    <row r="22" spans="1:15" x14ac:dyDescent="0.25">
      <c r="B22" s="8"/>
      <c r="C22" s="8" t="s">
        <v>12</v>
      </c>
      <c r="D22" s="19" t="s">
        <v>7</v>
      </c>
      <c r="E22" s="10">
        <v>68</v>
      </c>
      <c r="F22" s="10">
        <v>92</v>
      </c>
      <c r="G22" s="10">
        <v>60</v>
      </c>
      <c r="H22" s="3">
        <v>1</v>
      </c>
      <c r="I22" s="9">
        <f t="shared" si="1"/>
        <v>60</v>
      </c>
    </row>
    <row r="23" spans="1:15" x14ac:dyDescent="0.25">
      <c r="B23" s="8"/>
      <c r="C23" s="8" t="s">
        <v>14</v>
      </c>
      <c r="D23" s="19" t="s">
        <v>7</v>
      </c>
      <c r="E23" s="13">
        <v>0</v>
      </c>
      <c r="F23" s="13">
        <v>0</v>
      </c>
      <c r="G23" s="10">
        <v>30</v>
      </c>
      <c r="H23" s="14">
        <v>1</v>
      </c>
      <c r="I23" s="9">
        <f t="shared" si="1"/>
        <v>30</v>
      </c>
      <c r="O23" s="9">
        <f>3000*1.1248</f>
        <v>3374.4</v>
      </c>
    </row>
    <row r="24" spans="1:15" x14ac:dyDescent="0.25">
      <c r="B24" s="8"/>
      <c r="C24" s="8" t="s">
        <v>19</v>
      </c>
      <c r="D24" s="19" t="s">
        <v>7</v>
      </c>
      <c r="E24" s="10">
        <v>292</v>
      </c>
      <c r="F24" s="10">
        <v>288</v>
      </c>
      <c r="G24" s="10">
        <v>204</v>
      </c>
      <c r="H24" s="14">
        <v>1</v>
      </c>
      <c r="I24" s="9">
        <f t="shared" si="1"/>
        <v>204</v>
      </c>
      <c r="O24" s="9">
        <f>+O23/3000</f>
        <v>1.1248</v>
      </c>
    </row>
    <row r="25" spans="1:15" x14ac:dyDescent="0.25">
      <c r="B25" s="8"/>
      <c r="C25" s="19" t="s">
        <v>21</v>
      </c>
      <c r="D25" s="19" t="s">
        <v>7</v>
      </c>
      <c r="E25" s="10">
        <v>4872</v>
      </c>
      <c r="F25" s="10">
        <v>4239</v>
      </c>
      <c r="G25" s="10">
        <v>3696</v>
      </c>
      <c r="H25" s="14">
        <v>1</v>
      </c>
      <c r="I25" s="9">
        <f t="shared" si="1"/>
        <v>3696</v>
      </c>
      <c r="M25" s="16" t="s">
        <v>38</v>
      </c>
      <c r="N25" s="9" t="s">
        <v>38</v>
      </c>
    </row>
    <row r="26" spans="1:15" x14ac:dyDescent="0.25">
      <c r="B26" s="8"/>
      <c r="C26" s="19"/>
      <c r="D26" s="8" t="s">
        <v>8</v>
      </c>
      <c r="E26" s="10">
        <v>849</v>
      </c>
      <c r="F26" s="10">
        <v>1077</v>
      </c>
      <c r="G26" s="10">
        <v>1188</v>
      </c>
      <c r="H26" s="14">
        <v>1.76</v>
      </c>
      <c r="I26" s="9">
        <f t="shared" si="1"/>
        <v>2090.88</v>
      </c>
      <c r="O26" s="9">
        <f>3000/1.1248</f>
        <v>2667.1408250355616</v>
      </c>
    </row>
    <row r="27" spans="1:15" x14ac:dyDescent="0.25">
      <c r="B27" s="8"/>
      <c r="C27" s="19"/>
      <c r="D27" s="8" t="s">
        <v>18</v>
      </c>
      <c r="E27" s="13">
        <v>0</v>
      </c>
      <c r="F27" s="13">
        <v>0</v>
      </c>
      <c r="G27" s="10">
        <v>6</v>
      </c>
      <c r="H27" s="14">
        <v>4</v>
      </c>
      <c r="I27" s="9">
        <f t="shared" si="1"/>
        <v>24</v>
      </c>
    </row>
    <row r="28" spans="1:15" x14ac:dyDescent="0.25">
      <c r="B28" s="8"/>
      <c r="C28" s="19" t="s">
        <v>22</v>
      </c>
      <c r="D28" s="19" t="s">
        <v>7</v>
      </c>
      <c r="E28" s="10">
        <v>102</v>
      </c>
      <c r="F28" s="10">
        <v>312</v>
      </c>
      <c r="G28" s="10">
        <v>378</v>
      </c>
      <c r="H28" s="14">
        <v>1</v>
      </c>
      <c r="I28" s="9">
        <f t="shared" si="1"/>
        <v>378</v>
      </c>
    </row>
    <row r="29" spans="1:15" x14ac:dyDescent="0.25">
      <c r="B29" s="8"/>
      <c r="C29" s="19"/>
      <c r="D29" s="8" t="s">
        <v>8</v>
      </c>
      <c r="E29" s="10">
        <v>789</v>
      </c>
      <c r="F29" s="10">
        <v>732</v>
      </c>
      <c r="G29" s="10">
        <v>561</v>
      </c>
      <c r="H29" s="14">
        <v>1.76</v>
      </c>
      <c r="I29" s="9">
        <f t="shared" si="1"/>
        <v>987.36</v>
      </c>
      <c r="O29" s="9">
        <f>145*O26</f>
        <v>386735.41963015642</v>
      </c>
    </row>
    <row r="30" spans="1:15" x14ac:dyDescent="0.25">
      <c r="B30" s="8"/>
      <c r="C30" s="19"/>
      <c r="D30" s="8" t="s">
        <v>18</v>
      </c>
      <c r="E30" s="13">
        <v>0</v>
      </c>
      <c r="F30" s="13">
        <v>0</v>
      </c>
      <c r="G30" s="10">
        <v>57</v>
      </c>
      <c r="H30" s="14">
        <v>4</v>
      </c>
      <c r="I30" s="9">
        <f t="shared" si="1"/>
        <v>228</v>
      </c>
    </row>
    <row r="31" spans="1:15" x14ac:dyDescent="0.25">
      <c r="B31" s="8"/>
      <c r="C31" s="19" t="s">
        <v>25</v>
      </c>
      <c r="D31" s="19" t="s">
        <v>7</v>
      </c>
      <c r="E31" s="10">
        <v>1038</v>
      </c>
      <c r="F31" s="10">
        <v>1770</v>
      </c>
      <c r="G31" s="10">
        <v>2145</v>
      </c>
      <c r="H31" s="14">
        <v>1</v>
      </c>
      <c r="I31" s="9">
        <f t="shared" si="1"/>
        <v>2145</v>
      </c>
    </row>
    <row r="32" spans="1:15" x14ac:dyDescent="0.25">
      <c r="B32" s="8"/>
      <c r="C32" s="19"/>
      <c r="D32" s="8" t="s">
        <v>8</v>
      </c>
      <c r="E32" s="10">
        <v>1245</v>
      </c>
      <c r="F32" s="10">
        <v>879</v>
      </c>
      <c r="G32" s="10">
        <v>855</v>
      </c>
      <c r="H32" s="14">
        <v>1.76</v>
      </c>
      <c r="I32" s="9">
        <f t="shared" si="1"/>
        <v>1504.8</v>
      </c>
    </row>
    <row r="33" spans="1:12" x14ac:dyDescent="0.25">
      <c r="B33" s="8"/>
      <c r="C33" s="8" t="s">
        <v>28</v>
      </c>
      <c r="D33" s="19" t="s">
        <v>8</v>
      </c>
      <c r="E33" s="10">
        <v>60</v>
      </c>
      <c r="F33" s="10">
        <v>66</v>
      </c>
      <c r="G33" s="10">
        <v>96</v>
      </c>
      <c r="H33" s="14">
        <v>1</v>
      </c>
      <c r="I33" s="9">
        <f t="shared" si="1"/>
        <v>96</v>
      </c>
    </row>
    <row r="34" spans="1:12" x14ac:dyDescent="0.25">
      <c r="B34" s="8"/>
      <c r="C34" s="19" t="s">
        <v>31</v>
      </c>
      <c r="D34" s="19" t="s">
        <v>7</v>
      </c>
      <c r="E34" s="10">
        <v>996</v>
      </c>
      <c r="F34" s="10">
        <v>938</v>
      </c>
      <c r="G34" s="10">
        <v>1021</v>
      </c>
      <c r="H34" s="14">
        <v>1</v>
      </c>
      <c r="I34" s="9">
        <f t="shared" si="1"/>
        <v>1021</v>
      </c>
    </row>
    <row r="35" spans="1:12" x14ac:dyDescent="0.25">
      <c r="A35" s="20"/>
      <c r="B35" s="21"/>
      <c r="C35" s="22"/>
      <c r="D35" s="21" t="s">
        <v>8</v>
      </c>
      <c r="E35" s="23">
        <v>552</v>
      </c>
      <c r="F35" s="23">
        <v>522</v>
      </c>
      <c r="G35" s="23">
        <v>501</v>
      </c>
      <c r="H35" s="24">
        <v>1.76</v>
      </c>
      <c r="I35" s="20">
        <f t="shared" si="1"/>
        <v>881.76</v>
      </c>
      <c r="J35" s="20"/>
    </row>
    <row r="36" spans="1:12" x14ac:dyDescent="0.25">
      <c r="B36" s="8"/>
      <c r="C36" s="19"/>
      <c r="D36" s="8"/>
      <c r="E36" s="10"/>
      <c r="F36" s="10"/>
      <c r="G36" s="10"/>
      <c r="H36" s="14"/>
      <c r="I36" s="17">
        <f>SUM(I21:I35)</f>
        <v>13430.8</v>
      </c>
      <c r="J36" s="17">
        <v>24</v>
      </c>
      <c r="K36" s="17"/>
      <c r="L36" s="17"/>
    </row>
    <row r="37" spans="1:12" x14ac:dyDescent="0.25">
      <c r="A37" s="25" t="s">
        <v>30</v>
      </c>
      <c r="B37" s="19" t="s">
        <v>5</v>
      </c>
      <c r="C37" s="19" t="s">
        <v>6</v>
      </c>
      <c r="D37" s="19" t="s">
        <v>7</v>
      </c>
      <c r="E37" s="10">
        <v>14</v>
      </c>
      <c r="F37" s="10">
        <v>4</v>
      </c>
      <c r="G37" s="13">
        <v>0</v>
      </c>
      <c r="H37" s="14">
        <v>1</v>
      </c>
      <c r="I37" s="9">
        <f t="shared" ref="I37:I53" si="2">+G37*H37</f>
        <v>0</v>
      </c>
    </row>
    <row r="38" spans="1:12" x14ac:dyDescent="0.25">
      <c r="B38" s="19"/>
      <c r="C38" s="19"/>
      <c r="D38" s="8" t="s">
        <v>8</v>
      </c>
      <c r="E38" s="13">
        <v>0</v>
      </c>
      <c r="F38" s="10">
        <v>3</v>
      </c>
      <c r="G38" s="10">
        <v>9</v>
      </c>
      <c r="H38" s="14">
        <v>1.76</v>
      </c>
      <c r="I38" s="9">
        <f t="shared" si="2"/>
        <v>15.84</v>
      </c>
    </row>
    <row r="39" spans="1:12" x14ac:dyDescent="0.25">
      <c r="B39" s="19"/>
      <c r="C39" s="8" t="s">
        <v>9</v>
      </c>
      <c r="D39" s="19" t="s">
        <v>7</v>
      </c>
      <c r="E39" s="10">
        <v>708</v>
      </c>
      <c r="F39" s="10">
        <v>723</v>
      </c>
      <c r="G39" s="10">
        <v>639</v>
      </c>
      <c r="H39" s="3">
        <v>1</v>
      </c>
      <c r="I39" s="9">
        <f t="shared" si="2"/>
        <v>639</v>
      </c>
    </row>
    <row r="40" spans="1:12" x14ac:dyDescent="0.25">
      <c r="B40" s="19"/>
      <c r="C40" s="19" t="s">
        <v>20</v>
      </c>
      <c r="D40" s="19" t="s">
        <v>7</v>
      </c>
      <c r="E40" s="13">
        <v>0</v>
      </c>
      <c r="F40" s="10">
        <v>186</v>
      </c>
      <c r="G40" s="10">
        <v>234</v>
      </c>
      <c r="H40" s="14">
        <v>1</v>
      </c>
      <c r="I40" s="9">
        <f>+G40*H40</f>
        <v>234</v>
      </c>
    </row>
    <row r="41" spans="1:12" x14ac:dyDescent="0.25">
      <c r="B41" s="19"/>
      <c r="C41" s="19"/>
      <c r="D41" s="8" t="s">
        <v>8</v>
      </c>
      <c r="E41" s="13">
        <v>0</v>
      </c>
      <c r="F41" s="13">
        <v>0</v>
      </c>
      <c r="G41" s="10">
        <v>141</v>
      </c>
      <c r="H41" s="14">
        <v>1.76</v>
      </c>
      <c r="I41" s="9">
        <f>+G41*H41</f>
        <v>248.16</v>
      </c>
    </row>
    <row r="42" spans="1:12" x14ac:dyDescent="0.25">
      <c r="B42" s="19"/>
      <c r="C42" s="19" t="s">
        <v>23</v>
      </c>
      <c r="D42" s="19" t="s">
        <v>7</v>
      </c>
      <c r="E42" s="10">
        <v>25</v>
      </c>
      <c r="F42" s="10">
        <v>19</v>
      </c>
      <c r="G42" s="10">
        <v>9</v>
      </c>
      <c r="H42" s="14">
        <v>1</v>
      </c>
      <c r="I42" s="9">
        <f t="shared" si="2"/>
        <v>9</v>
      </c>
    </row>
    <row r="43" spans="1:12" x14ac:dyDescent="0.25">
      <c r="B43" s="19"/>
      <c r="C43" s="19"/>
      <c r="D43" s="8" t="s">
        <v>8</v>
      </c>
      <c r="E43" s="10">
        <v>30</v>
      </c>
      <c r="F43" s="10">
        <v>24</v>
      </c>
      <c r="G43" s="10">
        <v>21</v>
      </c>
      <c r="H43" s="14">
        <v>1.76</v>
      </c>
      <c r="I43" s="9">
        <f t="shared" si="2"/>
        <v>36.96</v>
      </c>
    </row>
    <row r="44" spans="1:12" x14ac:dyDescent="0.25">
      <c r="B44" s="19"/>
      <c r="C44" s="19" t="s">
        <v>26</v>
      </c>
      <c r="D44" s="19" t="s">
        <v>7</v>
      </c>
      <c r="E44" s="10">
        <v>4474</v>
      </c>
      <c r="F44" s="10">
        <v>3594</v>
      </c>
      <c r="G44" s="10">
        <v>3073</v>
      </c>
      <c r="H44" s="14">
        <v>1</v>
      </c>
      <c r="I44" s="9">
        <f t="shared" si="2"/>
        <v>3073</v>
      </c>
    </row>
    <row r="45" spans="1:12" x14ac:dyDescent="0.25">
      <c r="B45" s="19"/>
      <c r="C45" s="19"/>
      <c r="D45" s="8" t="s">
        <v>8</v>
      </c>
      <c r="E45" s="10">
        <v>753</v>
      </c>
      <c r="F45" s="10">
        <v>630</v>
      </c>
      <c r="G45" s="10">
        <v>759</v>
      </c>
      <c r="H45" s="14">
        <v>1.76</v>
      </c>
      <c r="I45" s="9">
        <f t="shared" si="2"/>
        <v>1335.84</v>
      </c>
    </row>
    <row r="46" spans="1:12" x14ac:dyDescent="0.25">
      <c r="B46" s="19"/>
      <c r="C46" s="19"/>
      <c r="D46" s="8" t="s">
        <v>18</v>
      </c>
      <c r="E46" s="10">
        <v>204</v>
      </c>
      <c r="F46" s="10">
        <v>177</v>
      </c>
      <c r="G46" s="10">
        <v>372</v>
      </c>
      <c r="H46" s="14">
        <v>4</v>
      </c>
      <c r="I46" s="9">
        <f t="shared" si="2"/>
        <v>1488</v>
      </c>
    </row>
    <row r="47" spans="1:12" x14ac:dyDescent="0.25">
      <c r="B47" s="19"/>
      <c r="C47" s="19" t="s">
        <v>27</v>
      </c>
      <c r="D47" s="19" t="s">
        <v>7</v>
      </c>
      <c r="E47" s="10">
        <v>2883</v>
      </c>
      <c r="F47" s="10">
        <v>2265</v>
      </c>
      <c r="G47" s="10">
        <v>1839</v>
      </c>
      <c r="H47" s="14">
        <v>1</v>
      </c>
      <c r="I47" s="9">
        <f t="shared" si="2"/>
        <v>1839</v>
      </c>
    </row>
    <row r="48" spans="1:12" x14ac:dyDescent="0.25">
      <c r="B48" s="19"/>
      <c r="C48" s="19"/>
      <c r="D48" s="8" t="s">
        <v>8</v>
      </c>
      <c r="E48" s="10">
        <v>5106</v>
      </c>
      <c r="F48" s="10">
        <v>5403</v>
      </c>
      <c r="G48" s="10">
        <v>5697</v>
      </c>
      <c r="H48" s="14">
        <v>1.76</v>
      </c>
      <c r="I48" s="9">
        <f t="shared" si="2"/>
        <v>10026.719999999999</v>
      </c>
    </row>
    <row r="49" spans="1:12" x14ac:dyDescent="0.25">
      <c r="B49" s="19"/>
      <c r="C49" s="19" t="s">
        <v>29</v>
      </c>
      <c r="D49" s="19" t="s">
        <v>7</v>
      </c>
      <c r="E49" s="10">
        <v>960</v>
      </c>
      <c r="F49" s="10">
        <v>933</v>
      </c>
      <c r="G49" s="10">
        <v>1041</v>
      </c>
      <c r="H49" s="14">
        <v>1</v>
      </c>
      <c r="I49" s="9">
        <f t="shared" si="2"/>
        <v>1041</v>
      </c>
    </row>
    <row r="50" spans="1:12" x14ac:dyDescent="0.25">
      <c r="B50" s="19"/>
      <c r="C50" s="19"/>
      <c r="D50" s="8" t="s">
        <v>8</v>
      </c>
      <c r="E50" s="10">
        <v>1071</v>
      </c>
      <c r="F50" s="10">
        <v>1101</v>
      </c>
      <c r="G50" s="10">
        <v>957</v>
      </c>
      <c r="H50" s="14">
        <v>1.76</v>
      </c>
      <c r="I50" s="9">
        <f t="shared" si="2"/>
        <v>1684.32</v>
      </c>
    </row>
    <row r="51" spans="1:12" x14ac:dyDescent="0.25">
      <c r="B51" s="19"/>
      <c r="C51" s="19" t="s">
        <v>30</v>
      </c>
      <c r="D51" s="19" t="s">
        <v>7</v>
      </c>
      <c r="E51" s="10">
        <v>339</v>
      </c>
      <c r="F51" s="10">
        <v>330</v>
      </c>
      <c r="G51" s="10">
        <v>234</v>
      </c>
      <c r="H51" s="14">
        <v>1</v>
      </c>
      <c r="I51" s="9">
        <f t="shared" si="2"/>
        <v>234</v>
      </c>
    </row>
    <row r="52" spans="1:12" x14ac:dyDescent="0.25">
      <c r="B52" s="19"/>
      <c r="C52" s="19"/>
      <c r="D52" s="8" t="s">
        <v>8</v>
      </c>
      <c r="E52" s="10">
        <v>933</v>
      </c>
      <c r="F52" s="10">
        <v>774</v>
      </c>
      <c r="G52" s="10">
        <v>636</v>
      </c>
      <c r="H52" s="14">
        <v>1.76</v>
      </c>
      <c r="I52" s="9">
        <f t="shared" si="2"/>
        <v>1119.3599999999999</v>
      </c>
    </row>
    <row r="53" spans="1:12" x14ac:dyDescent="0.25">
      <c r="A53" s="20"/>
      <c r="B53" s="22"/>
      <c r="C53" s="21" t="s">
        <v>32</v>
      </c>
      <c r="D53" s="22" t="s">
        <v>7</v>
      </c>
      <c r="E53" s="23">
        <v>2235</v>
      </c>
      <c r="F53" s="23">
        <v>1467</v>
      </c>
      <c r="G53" s="23">
        <v>1431</v>
      </c>
      <c r="H53" s="24">
        <v>1</v>
      </c>
      <c r="I53" s="20">
        <f t="shared" si="2"/>
        <v>1431</v>
      </c>
      <c r="J53" s="20"/>
    </row>
    <row r="54" spans="1:12" x14ac:dyDescent="0.25">
      <c r="B54" s="19"/>
      <c r="C54" s="8"/>
      <c r="D54" s="19"/>
      <c r="E54" s="10"/>
      <c r="F54" s="10"/>
      <c r="G54" s="10"/>
      <c r="H54" s="14"/>
      <c r="I54" s="17">
        <f>SUM(I37:I53)</f>
        <v>24455.199999999997</v>
      </c>
      <c r="J54" s="17">
        <v>32</v>
      </c>
      <c r="K54" s="17"/>
      <c r="L54" s="17"/>
    </row>
    <row r="55" spans="1:12" x14ac:dyDescent="0.25">
      <c r="B55" s="19"/>
      <c r="C55" s="8"/>
      <c r="D55" s="19"/>
      <c r="E55" s="10"/>
      <c r="F55" s="10"/>
      <c r="G55" s="10"/>
      <c r="H55" s="14"/>
    </row>
    <row r="56" spans="1:12" x14ac:dyDescent="0.25">
      <c r="B56" s="19"/>
      <c r="C56" s="8"/>
      <c r="D56" s="19"/>
      <c r="E56" s="10"/>
      <c r="F56" s="10"/>
      <c r="G56" s="10"/>
      <c r="H56" s="14"/>
    </row>
    <row r="57" spans="1:12" x14ac:dyDescent="0.25">
      <c r="B57" s="91" t="s">
        <v>36</v>
      </c>
      <c r="C57" s="91"/>
      <c r="D57" s="91"/>
      <c r="E57" s="10">
        <v>53729</v>
      </c>
      <c r="F57" s="10">
        <v>50069</v>
      </c>
      <c r="G57" s="10">
        <v>47984</v>
      </c>
      <c r="H57" s="14"/>
      <c r="I57" s="9">
        <f>+I54+I36+I19+I15</f>
        <v>67510.51999999999</v>
      </c>
      <c r="J57" s="9">
        <f>+J54+J36+J19+J15</f>
        <v>131</v>
      </c>
    </row>
    <row r="58" spans="1:12" x14ac:dyDescent="0.25">
      <c r="H58" s="14"/>
    </row>
    <row r="59" spans="1:12" x14ac:dyDescent="0.25">
      <c r="H59" s="14"/>
    </row>
  </sheetData>
  <mergeCells count="12">
    <mergeCell ref="M4:S4"/>
    <mergeCell ref="B57:D57"/>
    <mergeCell ref="B1:D1"/>
    <mergeCell ref="H1:H4"/>
    <mergeCell ref="I1:I4"/>
    <mergeCell ref="B2:D2"/>
    <mergeCell ref="E2:E4"/>
    <mergeCell ref="F2:F4"/>
    <mergeCell ref="G2:G4"/>
    <mergeCell ref="B3:B4"/>
    <mergeCell ref="C3:C4"/>
    <mergeCell ref="D3:D4"/>
  </mergeCells>
  <pageMargins left="0.7" right="0.7" top="0.75" bottom="0.75" header="0.3" footer="0.3"/>
  <ignoredErrors>
    <ignoredError sqref="I15 I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I20"/>
  <sheetViews>
    <sheetView workbookViewId="0">
      <selection activeCell="H9" sqref="H9"/>
    </sheetView>
  </sheetViews>
  <sheetFormatPr defaultRowHeight="14.4" x14ac:dyDescent="0.3"/>
  <cols>
    <col min="5" max="5" width="12.5546875" customWidth="1"/>
    <col min="6" max="6" width="15.88671875" customWidth="1"/>
    <col min="7" max="7" width="13.44140625" customWidth="1"/>
  </cols>
  <sheetData>
    <row r="5" spans="5:9" ht="27.6" x14ac:dyDescent="0.3">
      <c r="E5" s="61" t="s">
        <v>70</v>
      </c>
      <c r="F5" s="61" t="str">
        <f>MODEL!J7</f>
        <v>TOTAL BUDGET</v>
      </c>
      <c r="G5" s="61" t="str">
        <f>MODEL!K7</f>
        <v>FACULTY TERM</v>
      </c>
      <c r="H5" s="61" t="str">
        <f>MODEL!L7</f>
        <v>WSCH TERM</v>
      </c>
      <c r="I5" s="61" t="str">
        <f>MODEL!M7</f>
        <v>FIXED TERM</v>
      </c>
    </row>
    <row r="6" spans="5:9" x14ac:dyDescent="0.3">
      <c r="E6" s="98" t="s">
        <v>57</v>
      </c>
      <c r="F6" s="49">
        <f>MODEL!J9</f>
        <v>333795</v>
      </c>
      <c r="G6" s="50">
        <f>MODEL!K9</f>
        <v>196500</v>
      </c>
      <c r="H6" s="51">
        <f>MODEL!L9</f>
        <v>107295</v>
      </c>
      <c r="I6" s="64">
        <f>MODEL!M9</f>
        <v>0.64681775539426256</v>
      </c>
    </row>
    <row r="7" spans="5:9" ht="27.6" x14ac:dyDescent="0.3">
      <c r="E7" s="99"/>
      <c r="F7" s="43" t="str">
        <f>MODEL!J10</f>
        <v>Percent of Budget:</v>
      </c>
      <c r="G7" s="63">
        <f>MODEL!K10</f>
        <v>58.868467172965445</v>
      </c>
      <c r="H7" s="63">
        <f>MODEL!L10</f>
        <v>32.14398058688716</v>
      </c>
      <c r="I7" s="72">
        <f>MODEL!M10</f>
        <v>8.9875522401473962</v>
      </c>
    </row>
    <row r="8" spans="5:9" ht="27.6" x14ac:dyDescent="0.3">
      <c r="E8" s="61" t="s">
        <v>70</v>
      </c>
      <c r="F8" s="61" t="str">
        <f>MODEL!J12</f>
        <v>TOTAL BUDGET</v>
      </c>
      <c r="G8" s="61" t="str">
        <f>MODEL!K12</f>
        <v>FACULTY TERM</v>
      </c>
      <c r="H8" s="61" t="str">
        <f>MODEL!L12</f>
        <v>WSCH TERM</v>
      </c>
      <c r="I8" s="61" t="str">
        <f>MODEL!M12</f>
        <v>FIXED TERM</v>
      </c>
    </row>
    <row r="9" spans="5:9" x14ac:dyDescent="0.3">
      <c r="E9" s="100" t="s">
        <v>48</v>
      </c>
      <c r="F9" s="50">
        <f>MODEL!J13</f>
        <v>77922.770471920521</v>
      </c>
      <c r="G9" s="50">
        <f>MODEL!K13</f>
        <v>46500</v>
      </c>
      <c r="H9" s="51">
        <f>MODEL!L13</f>
        <v>23922.770471920529</v>
      </c>
      <c r="I9" s="68" t="str">
        <f>MODEL!M13</f>
        <v xml:space="preserve"> </v>
      </c>
    </row>
    <row r="10" spans="5:9" x14ac:dyDescent="0.3">
      <c r="E10" s="100"/>
      <c r="F10" s="73" t="str">
        <f>MODEL!J14</f>
        <v>percent of budget:</v>
      </c>
      <c r="G10" s="74">
        <f>MODEL!K14</f>
        <v>59.67446962984495</v>
      </c>
      <c r="H10" s="74">
        <f>MODEL!L14</f>
        <v>30.700615913728452</v>
      </c>
      <c r="I10" s="75">
        <f>MODEL!M14</f>
        <v>9.6249144564266054</v>
      </c>
    </row>
    <row r="11" spans="5:9" ht="27.6" x14ac:dyDescent="0.3">
      <c r="E11" s="61" t="s">
        <v>70</v>
      </c>
      <c r="F11" s="61" t="str">
        <f>MODEL!J17</f>
        <v>TOTAL BUDGET</v>
      </c>
      <c r="G11" s="61" t="str">
        <f>MODEL!K17</f>
        <v>FACULTY TERM</v>
      </c>
      <c r="H11" s="61" t="str">
        <f>MODEL!L17</f>
        <v>WSCH TERM</v>
      </c>
      <c r="I11" s="61" t="str">
        <f>MODEL!M17</f>
        <v>FIXED TERM</v>
      </c>
    </row>
    <row r="12" spans="5:9" ht="15" customHeight="1" x14ac:dyDescent="0.3">
      <c r="E12" s="100" t="s">
        <v>17</v>
      </c>
      <c r="F12" s="50">
        <f>MODEL!J18</f>
        <v>96659.711982665816</v>
      </c>
      <c r="G12" s="50">
        <f>MODEL!K18</f>
        <v>66000</v>
      </c>
      <c r="H12" s="51">
        <f>MODEL!L18</f>
        <v>23159.711982665816</v>
      </c>
      <c r="I12" s="64">
        <f>MODEL!M18</f>
        <v>0.74024465234736891</v>
      </c>
    </row>
    <row r="13" spans="5:9" x14ac:dyDescent="0.3">
      <c r="E13" s="100"/>
      <c r="F13" s="73" t="str">
        <f>MODEL!J19</f>
        <v>percent of budget:</v>
      </c>
      <c r="G13" s="74">
        <f>MODEL!K19</f>
        <v>68.280774529760563</v>
      </c>
      <c r="H13" s="74">
        <f>MODEL!L19</f>
        <v>23.960046546403007</v>
      </c>
      <c r="I13" s="75">
        <f>MODEL!M19</f>
        <v>7.7591789238364282</v>
      </c>
    </row>
    <row r="14" spans="5:9" ht="27.6" x14ac:dyDescent="0.3">
      <c r="E14" s="61" t="s">
        <v>70</v>
      </c>
      <c r="F14" s="61" t="str">
        <f>MODEL!J22</f>
        <v>TOTAL BUDGET</v>
      </c>
      <c r="G14" s="61" t="str">
        <f>MODEL!K22</f>
        <v>FACULTY TERM</v>
      </c>
      <c r="H14" s="61" t="str">
        <f>MODEL!L22</f>
        <v>WSCH TERM</v>
      </c>
      <c r="I14" s="61" t="str">
        <f>MODEL!M22</f>
        <v>FIXED TERM</v>
      </c>
    </row>
    <row r="15" spans="5:9" x14ac:dyDescent="0.3">
      <c r="E15" s="100" t="s">
        <v>69</v>
      </c>
      <c r="F15" s="50">
        <f>MODEL!J23</f>
        <v>64845.675992423108</v>
      </c>
      <c r="G15" s="50">
        <f>MODEL!K23</f>
        <v>36000</v>
      </c>
      <c r="H15" s="51">
        <f>MODEL!L23</f>
        <v>21345.675992423108</v>
      </c>
      <c r="I15" s="64">
        <f>MODEL!M23</f>
        <v>0.62777183069141185</v>
      </c>
    </row>
    <row r="16" spans="5:9" x14ac:dyDescent="0.3">
      <c r="E16" s="100"/>
      <c r="F16" s="43" t="str">
        <f>MODEL!J24</f>
        <v>percent of budget:</v>
      </c>
      <c r="G16" s="63">
        <f>MODEL!K24</f>
        <v>55.516423337473455</v>
      </c>
      <c r="H16" s="63">
        <f>MODEL!L24</f>
        <v>32.91765513388625</v>
      </c>
      <c r="I16" s="72">
        <f>MODEL!M24</f>
        <v>11.565921528640303</v>
      </c>
    </row>
    <row r="17" spans="5:9" ht="27.6" x14ac:dyDescent="0.3">
      <c r="E17" s="61" t="s">
        <v>70</v>
      </c>
      <c r="F17" s="61" t="str">
        <f>MODEL!J26</f>
        <v>TOTAL BUDGET</v>
      </c>
      <c r="G17" s="61" t="str">
        <f>MODEL!K26</f>
        <v>FACULTY TERM</v>
      </c>
      <c r="H17" s="61" t="str">
        <f>MODEL!L26</f>
        <v>WSCH TERM</v>
      </c>
      <c r="I17" s="61" t="str">
        <f>MODEL!M26</f>
        <v>FIXED TERM</v>
      </c>
    </row>
    <row r="18" spans="5:9" x14ac:dyDescent="0.3">
      <c r="E18" s="101" t="s">
        <v>30</v>
      </c>
      <c r="F18" s="76">
        <f>MODEL!J27</f>
        <v>94366.841552990547</v>
      </c>
      <c r="G18" s="76">
        <f>MODEL!K27</f>
        <v>48000</v>
      </c>
      <c r="H18" s="77">
        <f>MODEL!L27</f>
        <v>38866.841552990554</v>
      </c>
      <c r="I18" s="78">
        <f>MODEL!M27</f>
        <v>0.55256987754894971</v>
      </c>
    </row>
    <row r="19" spans="5:9" x14ac:dyDescent="0.3">
      <c r="E19" s="102"/>
      <c r="F19" s="52" t="str">
        <f>MODEL!J28</f>
        <v>percent of budget:</v>
      </c>
      <c r="G19" s="62">
        <f>MODEL!K28</f>
        <v>50.865324313144669</v>
      </c>
      <c r="H19" s="62">
        <f>MODEL!L28</f>
        <v>41.18696876292649</v>
      </c>
      <c r="I19" s="71">
        <f>MODEL!M28</f>
        <v>7.9477069239288527</v>
      </c>
    </row>
    <row r="20" spans="5:9" x14ac:dyDescent="0.3">
      <c r="F20" s="46" t="s">
        <v>38</v>
      </c>
      <c r="G20" s="88" t="str">
        <f>MODEL!K30</f>
        <v>RYDEN 11/29/2016</v>
      </c>
      <c r="H20" s="88"/>
      <c r="I20" s="88"/>
    </row>
  </sheetData>
  <mergeCells count="6">
    <mergeCell ref="E6:E7"/>
    <mergeCell ref="G20:I20"/>
    <mergeCell ref="E9:E10"/>
    <mergeCell ref="E12:E13"/>
    <mergeCell ref="E15:E16"/>
    <mergeCell ref="E18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</vt:lpstr>
      <vt:lpstr>SCH DATA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Ryden, David</dc:creator>
  <cp:lastModifiedBy>Helmling, Gayle</cp:lastModifiedBy>
  <cp:lastPrinted>2017-03-24T13:19:38Z</cp:lastPrinted>
  <dcterms:created xsi:type="dcterms:W3CDTF">2016-11-23T17:02:38Z</dcterms:created>
  <dcterms:modified xsi:type="dcterms:W3CDTF">2017-11-29T15:23:19Z</dcterms:modified>
</cp:coreProperties>
</file>